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swissdairy-my.sharepoint.com/personal/annelies_norswissdairy_onmicrosoft_com/Documents/Anne Synod Compensation Committee/2027 Synod Guidelines/2027 Approved Documents/"/>
    </mc:Choice>
  </mc:AlternateContent>
  <xr:revisionPtr revIDLastSave="23" documentId="8_{F0A2A362-7372-4495-AA5A-9566636EC43E}" xr6:coauthVersionLast="47" xr6:coauthVersionMax="47" xr10:uidLastSave="{3D366502-FE0E-4B82-9218-29E063D00606}"/>
  <bookViews>
    <workbookView xWindow="-110" yWindow="-110" windowWidth="25820" windowHeight="15500" xr2:uid="{1CC6F0CD-F358-42D8-A0F5-EB5FED1AEF73}"/>
  </bookViews>
  <sheets>
    <sheet name="Reverse Calculator" sheetId="5" r:id="rId1"/>
    <sheet name="2027 Minister Salary Table" sheetId="6" r:id="rId2"/>
    <sheet name="2026 Minister Salary Table" sheetId="4" r:id="rId3"/>
    <sheet name="2025 Minister Salary Table" sheetId="2" r:id="rId4"/>
  </sheets>
  <definedNames>
    <definedName name="_xlnm.Print_Area" localSheetId="3">'2025 Minister Salary Table'!$A:$H</definedName>
    <definedName name="_xlnm.Print_Area" localSheetId="1">'2027 Minister Salary Table'!$A:$H</definedName>
    <definedName name="_xlnm.Print_Area" localSheetId="0">'Reverse Calculator'!$A$1:$U$44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7" i="5" l="1"/>
  <c r="D37" i="5"/>
  <c r="O5" i="6"/>
  <c r="N6" i="6" s="1"/>
  <c r="N7" i="6" s="1"/>
  <c r="N8" i="6" s="1"/>
  <c r="N9" i="6" s="1"/>
  <c r="N10" i="6" s="1"/>
  <c r="N11" i="6" s="1"/>
  <c r="N12" i="6" s="1"/>
  <c r="N13" i="6" s="1"/>
  <c r="N14" i="6" s="1"/>
  <c r="N15" i="6" s="1"/>
  <c r="N16" i="6" s="1"/>
  <c r="N17" i="6" s="1"/>
  <c r="N18" i="6" s="1"/>
  <c r="N19" i="6" s="1"/>
  <c r="N20" i="6" s="1"/>
  <c r="N21" i="6" s="1"/>
  <c r="N22" i="6" s="1"/>
  <c r="N23" i="6" s="1"/>
  <c r="N24" i="6" s="1"/>
  <c r="N25" i="6" s="1"/>
  <c r="N26" i="6" s="1"/>
  <c r="N27" i="6" s="1"/>
  <c r="N28" i="6" s="1"/>
  <c r="N29" i="6" s="1"/>
  <c r="N30" i="6" s="1"/>
  <c r="N31" i="6" s="1"/>
  <c r="N32" i="6" s="1"/>
  <c r="N33" i="6" s="1"/>
  <c r="N34" i="6" s="1"/>
  <c r="N35" i="6" s="1"/>
  <c r="N36" i="6" s="1"/>
  <c r="N37" i="6" s="1"/>
  <c r="N38" i="6" s="1"/>
  <c r="N39" i="6" s="1"/>
  <c r="N40" i="6" s="1"/>
  <c r="N41" i="6" s="1"/>
  <c r="N42" i="6" s="1"/>
  <c r="N43" i="6" s="1"/>
  <c r="N44" i="6" s="1"/>
  <c r="C5" i="6"/>
  <c r="E5" i="6" s="1"/>
  <c r="B5" i="6"/>
  <c r="B6" i="6" s="1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L4" i="6"/>
  <c r="K5" i="6" s="1"/>
  <c r="K6" i="6" s="1"/>
  <c r="K7" i="6" s="1"/>
  <c r="K8" i="6" s="1"/>
  <c r="K9" i="6" s="1"/>
  <c r="K10" i="6" s="1"/>
  <c r="K11" i="6" s="1"/>
  <c r="K12" i="6" s="1"/>
  <c r="K13" i="6" s="1"/>
  <c r="K14" i="6" s="1"/>
  <c r="K15" i="6" s="1"/>
  <c r="K16" i="6" s="1"/>
  <c r="K17" i="6" s="1"/>
  <c r="K18" i="6" s="1"/>
  <c r="K19" i="6" s="1"/>
  <c r="K20" i="6" s="1"/>
  <c r="K21" i="6" s="1"/>
  <c r="K22" i="6" s="1"/>
  <c r="K23" i="6" s="1"/>
  <c r="K24" i="6" s="1"/>
  <c r="K25" i="6" s="1"/>
  <c r="K26" i="6" s="1"/>
  <c r="K27" i="6" s="1"/>
  <c r="K28" i="6" s="1"/>
  <c r="K29" i="6" s="1"/>
  <c r="K30" i="6" s="1"/>
  <c r="K31" i="6" s="1"/>
  <c r="K32" i="6" s="1"/>
  <c r="K33" i="6" s="1"/>
  <c r="K34" i="6" s="1"/>
  <c r="K35" i="6" s="1"/>
  <c r="K36" i="6" s="1"/>
  <c r="K37" i="6" s="1"/>
  <c r="K38" i="6" s="1"/>
  <c r="K39" i="6" s="1"/>
  <c r="K40" i="6" s="1"/>
  <c r="K41" i="6" s="1"/>
  <c r="K42" i="6" s="1"/>
  <c r="K43" i="6" s="1"/>
  <c r="K44" i="6" s="1"/>
  <c r="E4" i="6"/>
  <c r="R27" i="5"/>
  <c r="F27" i="5"/>
  <c r="R17" i="5"/>
  <c r="T11" i="5"/>
  <c r="H11" i="5"/>
  <c r="V9" i="5"/>
  <c r="R9" i="5"/>
  <c r="F9" i="5"/>
  <c r="C6" i="6" l="1"/>
  <c r="F5" i="6"/>
  <c r="F4" i="6"/>
  <c r="E4" i="4"/>
  <c r="B5" i="4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G4" i="6" l="1"/>
  <c r="H4" i="6" s="1"/>
  <c r="G5" i="6"/>
  <c r="H5" i="6" s="1"/>
  <c r="E6" i="6"/>
  <c r="C7" i="6"/>
  <c r="C5" i="4"/>
  <c r="E7" i="6" l="1"/>
  <c r="C8" i="6"/>
  <c r="F6" i="6"/>
  <c r="E5" i="4"/>
  <c r="C6" i="4"/>
  <c r="G6" i="6" l="1"/>
  <c r="H6" i="6" s="1"/>
  <c r="E8" i="6"/>
  <c r="C9" i="6"/>
  <c r="F7" i="6"/>
  <c r="G7" i="6"/>
  <c r="H7" i="6"/>
  <c r="C7" i="4"/>
  <c r="E6" i="4"/>
  <c r="F8" i="6" l="1"/>
  <c r="P9" i="6"/>
  <c r="C10" i="6"/>
  <c r="E9" i="6"/>
  <c r="E7" i="4"/>
  <c r="C8" i="4"/>
  <c r="H8" i="6" l="1"/>
  <c r="F9" i="6"/>
  <c r="G9" i="6"/>
  <c r="H9" i="6" s="1"/>
  <c r="E10" i="6"/>
  <c r="C11" i="6"/>
  <c r="G8" i="6"/>
  <c r="C9" i="4"/>
  <c r="E8" i="4"/>
  <c r="E11" i="6" l="1"/>
  <c r="C12" i="6"/>
  <c r="F10" i="6"/>
  <c r="G10" i="6" s="1"/>
  <c r="H10" i="6" s="1"/>
  <c r="E9" i="4"/>
  <c r="C10" i="4"/>
  <c r="E12" i="6" l="1"/>
  <c r="C13" i="6"/>
  <c r="F11" i="6"/>
  <c r="G11" i="6" s="1"/>
  <c r="E10" i="4"/>
  <c r="C11" i="4"/>
  <c r="E13" i="6" l="1"/>
  <c r="C14" i="6"/>
  <c r="H11" i="6"/>
  <c r="F12" i="6"/>
  <c r="G12" i="6"/>
  <c r="H12" i="6" s="1"/>
  <c r="E11" i="4"/>
  <c r="C12" i="4"/>
  <c r="C15" i="6" l="1"/>
  <c r="E14" i="6"/>
  <c r="F13" i="6"/>
  <c r="E12" i="4"/>
  <c r="C13" i="4"/>
  <c r="G13" i="6" l="1"/>
  <c r="H13" i="6" s="1"/>
  <c r="F14" i="6"/>
  <c r="G14" i="6" s="1"/>
  <c r="E15" i="6"/>
  <c r="C16" i="6"/>
  <c r="E13" i="4"/>
  <c r="C14" i="4"/>
  <c r="H14" i="6" l="1"/>
  <c r="C17" i="6"/>
  <c r="E16" i="6"/>
  <c r="F15" i="6"/>
  <c r="H15" i="6" s="1"/>
  <c r="G15" i="6"/>
  <c r="E14" i="4"/>
  <c r="C15" i="4"/>
  <c r="E17" i="6" l="1"/>
  <c r="C18" i="6"/>
  <c r="F16" i="6"/>
  <c r="G16" i="6" s="1"/>
  <c r="E15" i="4"/>
  <c r="C16" i="4"/>
  <c r="C19" i="6" l="1"/>
  <c r="E18" i="6"/>
  <c r="H16" i="6"/>
  <c r="F17" i="6"/>
  <c r="G17" i="6"/>
  <c r="H17" i="6"/>
  <c r="E16" i="4"/>
  <c r="C17" i="4"/>
  <c r="F18" i="6" l="1"/>
  <c r="E19" i="6"/>
  <c r="C20" i="6"/>
  <c r="E17" i="4"/>
  <c r="C18" i="4"/>
  <c r="E20" i="6" l="1"/>
  <c r="C21" i="6"/>
  <c r="G18" i="6"/>
  <c r="H18" i="6" s="1"/>
  <c r="F19" i="6"/>
  <c r="H19" i="6" s="1"/>
  <c r="G19" i="6"/>
  <c r="E18" i="4"/>
  <c r="C19" i="4"/>
  <c r="G20" i="6" l="1"/>
  <c r="H20" i="6" s="1"/>
  <c r="F20" i="6"/>
  <c r="C22" i="6"/>
  <c r="E21" i="6"/>
  <c r="E19" i="4"/>
  <c r="C20" i="4"/>
  <c r="E22" i="6" l="1"/>
  <c r="C23" i="6"/>
  <c r="F21" i="6"/>
  <c r="G21" i="6"/>
  <c r="H21" i="6" s="1"/>
  <c r="E20" i="4"/>
  <c r="C21" i="4"/>
  <c r="E23" i="6" l="1"/>
  <c r="C24" i="6"/>
  <c r="F22" i="6"/>
  <c r="H22" i="6" s="1"/>
  <c r="G22" i="6"/>
  <c r="E21" i="4"/>
  <c r="C22" i="4"/>
  <c r="E24" i="6" l="1"/>
  <c r="C25" i="6"/>
  <c r="F23" i="6"/>
  <c r="E22" i="4"/>
  <c r="C23" i="4"/>
  <c r="C26" i="6" l="1"/>
  <c r="E25" i="6"/>
  <c r="G23" i="6"/>
  <c r="H23" i="6" s="1"/>
  <c r="F24" i="6"/>
  <c r="G24" i="6"/>
  <c r="H24" i="6" s="1"/>
  <c r="E23" i="4"/>
  <c r="C24" i="4"/>
  <c r="C27" i="6" l="1"/>
  <c r="E26" i="6"/>
  <c r="F25" i="6"/>
  <c r="G25" i="6" s="1"/>
  <c r="E24" i="4"/>
  <c r="C25" i="4"/>
  <c r="H25" i="6" l="1"/>
  <c r="F26" i="6"/>
  <c r="G26" i="6"/>
  <c r="H26" i="6" s="1"/>
  <c r="E27" i="6"/>
  <c r="C28" i="6"/>
  <c r="E25" i="4"/>
  <c r="C26" i="4"/>
  <c r="C29" i="6" l="1"/>
  <c r="E28" i="6"/>
  <c r="F27" i="6"/>
  <c r="H27" i="6" s="1"/>
  <c r="G27" i="6"/>
  <c r="E26" i="4"/>
  <c r="C27" i="4"/>
  <c r="E29" i="6" l="1"/>
  <c r="C30" i="6"/>
  <c r="F28" i="6"/>
  <c r="G28" i="6" s="1"/>
  <c r="E27" i="4"/>
  <c r="C28" i="4"/>
  <c r="F29" i="6" l="1"/>
  <c r="H28" i="6"/>
  <c r="C31" i="6"/>
  <c r="E30" i="6"/>
  <c r="E28" i="4"/>
  <c r="C29" i="4"/>
  <c r="F30" i="6" l="1"/>
  <c r="G30" i="6"/>
  <c r="H30" i="6" s="1"/>
  <c r="C32" i="6"/>
  <c r="E31" i="6"/>
  <c r="G29" i="6"/>
  <c r="H29" i="6" s="1"/>
  <c r="E29" i="4"/>
  <c r="C30" i="4"/>
  <c r="F31" i="6" l="1"/>
  <c r="C33" i="6"/>
  <c r="E32" i="6"/>
  <c r="E30" i="4"/>
  <c r="C31" i="4"/>
  <c r="E33" i="6" l="1"/>
  <c r="C34" i="6"/>
  <c r="F32" i="6"/>
  <c r="G32" i="6"/>
  <c r="H32" i="6" s="1"/>
  <c r="G31" i="6"/>
  <c r="H31" i="6" s="1"/>
  <c r="E31" i="4"/>
  <c r="C32" i="4"/>
  <c r="H33" i="6" l="1"/>
  <c r="F33" i="6"/>
  <c r="G33" i="6"/>
  <c r="C35" i="6"/>
  <c r="E34" i="6"/>
  <c r="E32" i="4"/>
  <c r="C33" i="4"/>
  <c r="F34" i="6" l="1"/>
  <c r="E35" i="6"/>
  <c r="C36" i="6"/>
  <c r="E33" i="4"/>
  <c r="C34" i="4"/>
  <c r="F35" i="6" l="1"/>
  <c r="G35" i="6"/>
  <c r="H35" i="6" s="1"/>
  <c r="G34" i="6"/>
  <c r="H34" i="6" s="1"/>
  <c r="C37" i="6"/>
  <c r="E36" i="6"/>
  <c r="E34" i="4"/>
  <c r="C35" i="4"/>
  <c r="F36" i="6" l="1"/>
  <c r="G36" i="6" s="1"/>
  <c r="H36" i="6" s="1"/>
  <c r="E37" i="6"/>
  <c r="C38" i="6"/>
  <c r="E35" i="4"/>
  <c r="C36" i="4"/>
  <c r="E38" i="6" l="1"/>
  <c r="C39" i="6"/>
  <c r="F37" i="6"/>
  <c r="H37" i="6" s="1"/>
  <c r="G37" i="6"/>
  <c r="E36" i="4"/>
  <c r="C37" i="4"/>
  <c r="E39" i="6" l="1"/>
  <c r="C40" i="6"/>
  <c r="F38" i="6"/>
  <c r="G38" i="6"/>
  <c r="H38" i="6" s="1"/>
  <c r="E37" i="4"/>
  <c r="C38" i="4"/>
  <c r="C41" i="6" l="1"/>
  <c r="E40" i="6"/>
  <c r="F39" i="6"/>
  <c r="G39" i="6"/>
  <c r="H39" i="6" s="1"/>
  <c r="E38" i="4"/>
  <c r="C39" i="4"/>
  <c r="F40" i="6" l="1"/>
  <c r="C42" i="6"/>
  <c r="E41" i="6"/>
  <c r="E39" i="4"/>
  <c r="C40" i="4"/>
  <c r="E42" i="6" l="1"/>
  <c r="C43" i="6"/>
  <c r="G40" i="6"/>
  <c r="H40" i="6" s="1"/>
  <c r="F41" i="6"/>
  <c r="E40" i="4"/>
  <c r="C41" i="4"/>
  <c r="G41" i="6" l="1"/>
  <c r="H41" i="6" s="1"/>
  <c r="C44" i="6"/>
  <c r="E44" i="6" s="1"/>
  <c r="E43" i="6"/>
  <c r="F42" i="6"/>
  <c r="H42" i="6" s="1"/>
  <c r="G42" i="6"/>
  <c r="E41" i="4"/>
  <c r="C42" i="4"/>
  <c r="F44" i="6" l="1"/>
  <c r="G44" i="6"/>
  <c r="H44" i="6" s="1"/>
  <c r="F43" i="6"/>
  <c r="G43" i="6"/>
  <c r="H43" i="6" s="1"/>
  <c r="E42" i="4"/>
  <c r="C43" i="4"/>
  <c r="E43" i="4" l="1"/>
  <c r="C44" i="4"/>
  <c r="E44" i="4" l="1"/>
  <c r="O5" i="2" l="1"/>
  <c r="N6" i="2" s="1"/>
  <c r="N7" i="2" s="1"/>
  <c r="N8" i="2" s="1"/>
  <c r="N9" i="2" s="1"/>
  <c r="N10" i="2" s="1"/>
  <c r="N11" i="2" s="1"/>
  <c r="N12" i="2" s="1"/>
  <c r="N13" i="2" s="1"/>
  <c r="N14" i="2" s="1"/>
  <c r="N15" i="2" s="1"/>
  <c r="N16" i="2" s="1"/>
  <c r="N17" i="2" s="1"/>
  <c r="N18" i="2" s="1"/>
  <c r="N19" i="2" s="1"/>
  <c r="N20" i="2" s="1"/>
  <c r="N21" i="2" s="1"/>
  <c r="N22" i="2" s="1"/>
  <c r="N23" i="2" s="1"/>
  <c r="N24" i="2" s="1"/>
  <c r="N25" i="2" s="1"/>
  <c r="N26" i="2" s="1"/>
  <c r="N27" i="2" s="1"/>
  <c r="N28" i="2" s="1"/>
  <c r="N29" i="2" s="1"/>
  <c r="N30" i="2" s="1"/>
  <c r="N31" i="2" s="1"/>
  <c r="N32" i="2" s="1"/>
  <c r="N33" i="2" s="1"/>
  <c r="N34" i="2" s="1"/>
  <c r="N35" i="2" s="1"/>
  <c r="N36" i="2" s="1"/>
  <c r="N37" i="2" s="1"/>
  <c r="N38" i="2" s="1"/>
  <c r="N39" i="2" s="1"/>
  <c r="N40" i="2" s="1"/>
  <c r="N41" i="2" s="1"/>
  <c r="N42" i="2" s="1"/>
  <c r="N43" i="2" s="1"/>
  <c r="N44" i="2" s="1"/>
  <c r="C5" i="2"/>
  <c r="B5" i="2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L4" i="2"/>
  <c r="K5" i="2" s="1"/>
  <c r="K6" i="2" s="1"/>
  <c r="K7" i="2" s="1"/>
  <c r="K8" i="2" s="1"/>
  <c r="K9" i="2" s="1"/>
  <c r="K10" i="2" s="1"/>
  <c r="K11" i="2" s="1"/>
  <c r="K12" i="2" s="1"/>
  <c r="K13" i="2" s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F4" i="2"/>
  <c r="E4" i="2"/>
  <c r="E5" i="2" l="1"/>
  <c r="G4" i="2"/>
  <c r="H4" i="2" s="1"/>
  <c r="C6" i="2"/>
  <c r="E6" i="2" l="1"/>
  <c r="C7" i="2"/>
  <c r="F5" i="2"/>
  <c r="G5" i="2" s="1"/>
  <c r="H5" i="2" l="1"/>
  <c r="E7" i="2"/>
  <c r="C8" i="2"/>
  <c r="F6" i="2"/>
  <c r="G6" i="2" s="1"/>
  <c r="H6" i="2" l="1"/>
  <c r="E8" i="2"/>
  <c r="C9" i="2"/>
  <c r="F7" i="2"/>
  <c r="H7" i="2" l="1"/>
  <c r="G7" i="2"/>
  <c r="P9" i="2"/>
  <c r="C10" i="2"/>
  <c r="E9" i="2"/>
  <c r="G8" i="2"/>
  <c r="F8" i="2"/>
  <c r="H8" i="2" s="1"/>
  <c r="F9" i="2" l="1"/>
  <c r="G9" i="2" s="1"/>
  <c r="C11" i="2"/>
  <c r="E10" i="2"/>
  <c r="F10" i="2" l="1"/>
  <c r="G10" i="2"/>
  <c r="H10" i="2" s="1"/>
  <c r="C12" i="2"/>
  <c r="E11" i="2"/>
  <c r="H9" i="2"/>
  <c r="F11" i="2" l="1"/>
  <c r="H11" i="2" s="1"/>
  <c r="G11" i="2"/>
  <c r="C13" i="2"/>
  <c r="E12" i="2"/>
  <c r="F12" i="2" l="1"/>
  <c r="E13" i="2"/>
  <c r="C14" i="2"/>
  <c r="F13" i="2" l="1"/>
  <c r="G13" i="2"/>
  <c r="H13" i="2" s="1"/>
  <c r="G12" i="2"/>
  <c r="H12" i="2" s="1"/>
  <c r="C15" i="2"/>
  <c r="E14" i="2"/>
  <c r="F14" i="2" l="1"/>
  <c r="G14" i="2"/>
  <c r="H14" i="2" s="1"/>
  <c r="C16" i="2"/>
  <c r="E15" i="2"/>
  <c r="F15" i="2" l="1"/>
  <c r="H15" i="2" s="1"/>
  <c r="G15" i="2"/>
  <c r="C17" i="2"/>
  <c r="E16" i="2"/>
  <c r="C18" i="2" l="1"/>
  <c r="E17" i="2"/>
  <c r="F16" i="2"/>
  <c r="G16" i="2" l="1"/>
  <c r="H16" i="2" s="1"/>
  <c r="F17" i="2"/>
  <c r="H17" i="2"/>
  <c r="G17" i="2"/>
  <c r="E18" i="2"/>
  <c r="C19" i="2"/>
  <c r="C20" i="2" l="1"/>
  <c r="E19" i="2"/>
  <c r="F18" i="2"/>
  <c r="H18" i="2" s="1"/>
  <c r="G18" i="2"/>
  <c r="F19" i="2" l="1"/>
  <c r="G19" i="2"/>
  <c r="H19" i="2" s="1"/>
  <c r="C21" i="2"/>
  <c r="E20" i="2"/>
  <c r="E21" i="2" l="1"/>
  <c r="C22" i="2"/>
  <c r="F20" i="2"/>
  <c r="G20" i="2" s="1"/>
  <c r="H20" i="2" l="1"/>
  <c r="C23" i="2"/>
  <c r="E22" i="2"/>
  <c r="F21" i="2"/>
  <c r="G21" i="2"/>
  <c r="H21" i="2" s="1"/>
  <c r="F22" i="2" l="1"/>
  <c r="C24" i="2"/>
  <c r="E23" i="2"/>
  <c r="F23" i="2" l="1"/>
  <c r="E24" i="2"/>
  <c r="C25" i="2"/>
  <c r="G22" i="2"/>
  <c r="H22" i="2" s="1"/>
  <c r="C26" i="2" l="1"/>
  <c r="E25" i="2"/>
  <c r="F24" i="2"/>
  <c r="H24" i="2" s="1"/>
  <c r="G24" i="2"/>
  <c r="G23" i="2"/>
  <c r="H23" i="2" s="1"/>
  <c r="F25" i="2" l="1"/>
  <c r="C27" i="2"/>
  <c r="E26" i="2"/>
  <c r="F26" i="2" l="1"/>
  <c r="H26" i="2"/>
  <c r="G26" i="2"/>
  <c r="E27" i="2"/>
  <c r="C28" i="2"/>
  <c r="G25" i="2"/>
  <c r="H25" i="2" s="1"/>
  <c r="E28" i="2" l="1"/>
  <c r="C29" i="2"/>
  <c r="F27" i="2"/>
  <c r="G27" i="2" s="1"/>
  <c r="H27" i="2" l="1"/>
  <c r="E29" i="2"/>
  <c r="C30" i="2"/>
  <c r="F28" i="2"/>
  <c r="H28" i="2" s="1"/>
  <c r="G28" i="2"/>
  <c r="E30" i="2" l="1"/>
  <c r="C31" i="2"/>
  <c r="F29" i="2"/>
  <c r="G29" i="2"/>
  <c r="H29" i="2" s="1"/>
  <c r="E31" i="2" l="1"/>
  <c r="C32" i="2"/>
  <c r="F30" i="2"/>
  <c r="G30" i="2"/>
  <c r="H30" i="2" s="1"/>
  <c r="C33" i="2" l="1"/>
  <c r="E32" i="2"/>
  <c r="F31" i="2"/>
  <c r="G31" i="2" l="1"/>
  <c r="H31" i="2" s="1"/>
  <c r="F32" i="2"/>
  <c r="C34" i="2"/>
  <c r="E33" i="2"/>
  <c r="F33" i="2" l="1"/>
  <c r="H33" i="2" s="1"/>
  <c r="G33" i="2"/>
  <c r="G32" i="2"/>
  <c r="H32" i="2" s="1"/>
  <c r="E34" i="2"/>
  <c r="C35" i="2"/>
  <c r="C36" i="2" l="1"/>
  <c r="E35" i="2"/>
  <c r="F34" i="2"/>
  <c r="F35" i="2" l="1"/>
  <c r="E36" i="2"/>
  <c r="C37" i="2"/>
  <c r="G34" i="2"/>
  <c r="H34" i="2" s="1"/>
  <c r="F36" i="2" l="1"/>
  <c r="H36" i="2" s="1"/>
  <c r="G36" i="2"/>
  <c r="G35" i="2"/>
  <c r="H35" i="2" s="1"/>
  <c r="E37" i="2"/>
  <c r="C38" i="2"/>
  <c r="E38" i="2" l="1"/>
  <c r="C39" i="2"/>
  <c r="F37" i="2"/>
  <c r="G37" i="2" l="1"/>
  <c r="H37" i="2" s="1"/>
  <c r="E39" i="2"/>
  <c r="C40" i="2"/>
  <c r="F38" i="2"/>
  <c r="G38" i="2"/>
  <c r="H38" i="2" s="1"/>
  <c r="F39" i="2" l="1"/>
  <c r="H39" i="2" s="1"/>
  <c r="G39" i="2"/>
  <c r="E40" i="2"/>
  <c r="C41" i="2"/>
  <c r="E41" i="2" l="1"/>
  <c r="C42" i="2"/>
  <c r="F40" i="2"/>
  <c r="G40" i="2" s="1"/>
  <c r="H40" i="2" l="1"/>
  <c r="E42" i="2"/>
  <c r="C43" i="2"/>
  <c r="F41" i="2"/>
  <c r="G41" i="2" l="1"/>
  <c r="H41" i="2" s="1"/>
  <c r="E43" i="2"/>
  <c r="C44" i="2"/>
  <c r="E44" i="2" s="1"/>
  <c r="F42" i="2"/>
  <c r="G42" i="2"/>
  <c r="H42" i="2" s="1"/>
  <c r="F44" i="2" l="1"/>
  <c r="H44" i="2" s="1"/>
  <c r="G44" i="2"/>
  <c r="F43" i="2"/>
  <c r="G43" i="2" l="1"/>
  <c r="H43" i="2" s="1"/>
  <c r="K8" i="5"/>
  <c r="W8" i="5"/>
  <c r="J9" i="5"/>
  <c r="F13" i="5"/>
  <c r="H13" i="5"/>
  <c r="R13" i="5"/>
  <c r="T13" i="5"/>
  <c r="F15" i="5"/>
  <c r="H15" i="5"/>
  <c r="R15" i="5"/>
  <c r="T15" i="5"/>
  <c r="F19" i="5"/>
  <c r="H19" i="5"/>
  <c r="R19" i="5"/>
  <c r="T19" i="5"/>
  <c r="F22" i="5"/>
  <c r="H22" i="5"/>
  <c r="R22" i="5"/>
  <c r="T22" i="5"/>
  <c r="F25" i="5"/>
  <c r="H25" i="5"/>
  <c r="R25" i="5"/>
  <c r="T25" i="5"/>
  <c r="H29" i="5"/>
  <c r="T29" i="5"/>
  <c r="F31" i="5"/>
  <c r="H31" i="5"/>
  <c r="U31" i="5"/>
  <c r="F34" i="5"/>
  <c r="H34" i="5"/>
  <c r="R34" i="5"/>
  <c r="T34" i="5"/>
  <c r="D38" i="5"/>
  <c r="R38" i="5"/>
</calcChain>
</file>

<file path=xl/sharedStrings.xml><?xml version="1.0" encoding="utf-8"?>
<sst xmlns="http://schemas.openxmlformats.org/spreadsheetml/2006/main" count="103" uniqueCount="56">
  <si>
    <t>Housing Allowance % of Base</t>
  </si>
  <si>
    <t>Parsonage valued at 30% of Base Salary</t>
  </si>
  <si>
    <t>Housing Equity Allowance - minimum $1800 annually</t>
  </si>
  <si>
    <t>per month</t>
  </si>
  <si>
    <t>Annual</t>
  </si>
  <si>
    <t>check</t>
  </si>
  <si>
    <t>T1</t>
  </si>
  <si>
    <t>Total Compensation Package</t>
  </si>
  <si>
    <t>B1</t>
  </si>
  <si>
    <t>Health Insurance **</t>
  </si>
  <si>
    <t>B2</t>
  </si>
  <si>
    <t>Disability / Basic Group Life</t>
  </si>
  <si>
    <t>B3</t>
  </si>
  <si>
    <t xml:space="preserve">Retirement / Pension </t>
  </si>
  <si>
    <t>B4</t>
  </si>
  <si>
    <t>Housing Equity Allowance</t>
  </si>
  <si>
    <t>TOTAL COST OF BENEFITS</t>
  </si>
  <si>
    <t>Amount Available for DEFINED COMPENSATION</t>
  </si>
  <si>
    <t>A4</t>
  </si>
  <si>
    <t>A3</t>
  </si>
  <si>
    <t>Additional Considerations</t>
  </si>
  <si>
    <t>Amount for Base Salary &amp; Housing Allowance</t>
  </si>
  <si>
    <t>A2</t>
  </si>
  <si>
    <t>Value of Parsonage - NOT cash expense for Payroll</t>
  </si>
  <si>
    <t xml:space="preserve">  (FICA-yes, income tax exempt)</t>
  </si>
  <si>
    <t>A1</t>
  </si>
  <si>
    <t>BASE SALARY</t>
  </si>
  <si>
    <t>**</t>
  </si>
  <si>
    <t>NO Parsonage - Housing Allowance</t>
  </si>
  <si>
    <t xml:space="preserve">Parsonage Provided &amp; Housing Equity Allowance </t>
  </si>
  <si>
    <t>This sheet shows</t>
  </si>
  <si>
    <t xml:space="preserve"> 5.0%</t>
  </si>
  <si>
    <t xml:space="preserve">      increase in Year 0 with a standardized declining difference using the Ratable % calculated from 4.09% to 2.3% and Ratable Increase calculated from 1.8% to .34%</t>
  </si>
  <si>
    <t>Years of Experience</t>
  </si>
  <si>
    <t>Year of Ordination</t>
  </si>
  <si>
    <t>Low</t>
  </si>
  <si>
    <t>High with Ratable % Difference</t>
  </si>
  <si>
    <t>Housing 50% High</t>
  </si>
  <si>
    <t>Social Security 7.65% High</t>
  </si>
  <si>
    <t>Total Defined Compensation High</t>
  </si>
  <si>
    <t>Year</t>
  </si>
  <si>
    <t>Ratable % Difference</t>
  </si>
  <si>
    <t>Calcuation</t>
  </si>
  <si>
    <t>Ratable % Increase</t>
  </si>
  <si>
    <t>Calculation</t>
  </si>
  <si>
    <t>Graduate</t>
  </si>
  <si>
    <t>Salary Available as % of Guideline</t>
  </si>
  <si>
    <t>Candidate - Year Ordained</t>
  </si>
  <si>
    <t xml:space="preserve"> Increase over 2025 Base</t>
  </si>
  <si>
    <t xml:space="preserve">LOW </t>
  </si>
  <si>
    <t>HIGH with Ratable % Difference</t>
  </si>
  <si>
    <t>FICA Reimbursement (7.65%)</t>
  </si>
  <si>
    <t xml:space="preserve">Housing Allowance </t>
  </si>
  <si>
    <t>Guideline for Candidate</t>
  </si>
  <si>
    <t>Need to start with "close" salary &amp; age to determine health cost.  
For low compensation calls, the "minimum" premium will most likely apply.  ($500-960/month) 
Each "extra" is an equal insurance premium
The age of pastor is key to premium (11.5-22.5% range)</t>
  </si>
  <si>
    <t>2.5%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</si>
</sst>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%"/>
    <numFmt numFmtId="166" formatCode="&quot;$&quot;#,##0"/>
    <numFmt numFmtId="167" formatCode="_(* #,##0.00000_);_(* \(#,##0.00000\);_(* &quot;-&quot;??_);_(@_)"/>
    <numFmt numFmtId="168" formatCode="_(\$* #,##0.00_);_(\$* \(#,##0.00\);_(\$* \-??_);_(@_)"/>
    <numFmt numFmtId="169" formatCode="_(\$* #,##0_);_(\$* \(#,##0\);_(\$* \-??_);_(@_)"/>
    <numFmt numFmtId="170" formatCode="0.0000000%"/>
    <numFmt numFmtId="171" formatCode="0.000%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9"/>
      <color theme="1"/>
      <name val="Times New Roman"/>
      <family val="1"/>
    </font>
    <font>
      <sz val="12"/>
      <color indexed="8"/>
      <name val="Calibri"/>
      <family val="2"/>
      <charset val="1"/>
    </font>
    <font>
      <sz val="10"/>
      <color indexed="8"/>
      <name val="Times New Roman"/>
      <family val="1"/>
    </font>
    <font>
      <sz val="18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u/>
      <sz val="14"/>
      <color theme="1"/>
      <name val="Times New Roman"/>
      <family val="1"/>
    </font>
    <font>
      <u/>
      <sz val="16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sz val="12"/>
      <color indexed="8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indexed="8"/>
      <name val="Times New Roman"/>
      <family val="1"/>
    </font>
    <font>
      <b/>
      <sz val="9"/>
      <color theme="1"/>
      <name val="Times New Roman"/>
      <family val="1"/>
    </font>
    <font>
      <b/>
      <u/>
      <sz val="18"/>
      <color theme="1"/>
      <name val="Times New Roman"/>
      <family val="1"/>
    </font>
    <font>
      <sz val="16"/>
      <color theme="1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CCFF"/>
        <bgColor indexed="22"/>
      </patternFill>
    </fill>
    <fill>
      <patternFill patternType="solid">
        <fgColor rgb="FFCCCCFF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BFAD8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168" fontId="7" fillId="0" borderId="0"/>
    <xf numFmtId="9" fontId="7" fillId="0" borderId="0"/>
  </cellStyleXfs>
  <cellXfs count="158">
    <xf numFmtId="0" fontId="0" fillId="0" borderId="0" xfId="0"/>
    <xf numFmtId="164" fontId="2" fillId="0" borderId="0" xfId="0" applyNumberFormat="1" applyFont="1"/>
    <xf numFmtId="165" fontId="3" fillId="0" borderId="0" xfId="3" applyNumberFormat="1" applyFont="1" applyAlignment="1">
      <alignment horizontal="left" vertical="center" wrapText="1"/>
    </xf>
    <xf numFmtId="164" fontId="4" fillId="0" borderId="0" xfId="0" applyNumberFormat="1" applyFont="1"/>
    <xf numFmtId="164" fontId="4" fillId="0" borderId="0" xfId="2" applyNumberFormat="1" applyFont="1"/>
    <xf numFmtId="164" fontId="2" fillId="0" borderId="1" xfId="2" applyNumberFormat="1" applyFont="1" applyFill="1" applyBorder="1"/>
    <xf numFmtId="164" fontId="2" fillId="0" borderId="0" xfId="2" applyNumberFormat="1" applyFont="1"/>
    <xf numFmtId="164" fontId="2" fillId="4" borderId="1" xfId="2" applyNumberFormat="1" applyFont="1" applyFill="1" applyBorder="1"/>
    <xf numFmtId="165" fontId="2" fillId="0" borderId="0" xfId="3" applyNumberFormat="1" applyFont="1"/>
    <xf numFmtId="10" fontId="2" fillId="0" borderId="0" xfId="3" applyNumberFormat="1" applyFont="1"/>
    <xf numFmtId="164" fontId="2" fillId="0" borderId="0" xfId="2" applyNumberFormat="1" applyFont="1" applyBorder="1"/>
    <xf numFmtId="10" fontId="4" fillId="0" borderId="0" xfId="3" applyNumberFormat="1" applyFont="1"/>
    <xf numFmtId="164" fontId="3" fillId="0" borderId="0" xfId="0" applyNumberFormat="1" applyFont="1"/>
    <xf numFmtId="164" fontId="2" fillId="3" borderId="1" xfId="2" applyNumberFormat="1" applyFont="1" applyFill="1" applyBorder="1"/>
    <xf numFmtId="10" fontId="3" fillId="0" borderId="0" xfId="3" applyNumberFormat="1" applyFont="1"/>
    <xf numFmtId="164" fontId="3" fillId="0" borderId="0" xfId="2" applyNumberFormat="1" applyFont="1" applyBorder="1"/>
    <xf numFmtId="164" fontId="3" fillId="0" borderId="0" xfId="2" applyNumberFormat="1" applyFont="1" applyFill="1" applyBorder="1"/>
    <xf numFmtId="164" fontId="3" fillId="0" borderId="0" xfId="2" applyNumberFormat="1" applyFont="1"/>
    <xf numFmtId="164" fontId="5" fillId="0" borderId="0" xfId="0" applyNumberFormat="1" applyFont="1"/>
    <xf numFmtId="164" fontId="4" fillId="0" borderId="0" xfId="2" applyNumberFormat="1" applyFont="1" applyFill="1" applyBorder="1"/>
    <xf numFmtId="164" fontId="5" fillId="0" borderId="0" xfId="2" applyNumberFormat="1" applyFont="1"/>
    <xf numFmtId="164" fontId="2" fillId="2" borderId="0" xfId="2" applyNumberFormat="1" applyFont="1" applyFill="1"/>
    <xf numFmtId="167" fontId="4" fillId="0" borderId="0" xfId="1" applyNumberFormat="1" applyFont="1"/>
    <xf numFmtId="164" fontId="4" fillId="6" borderId="0" xfId="0" applyNumberFormat="1" applyFont="1" applyFill="1"/>
    <xf numFmtId="164" fontId="2" fillId="6" borderId="0" xfId="0" applyNumberFormat="1" applyFont="1" applyFill="1"/>
    <xf numFmtId="164" fontId="3" fillId="6" borderId="0" xfId="0" applyNumberFormat="1" applyFont="1" applyFill="1"/>
    <xf numFmtId="164" fontId="5" fillId="6" borderId="0" xfId="0" applyNumberFormat="1" applyFont="1" applyFill="1"/>
    <xf numFmtId="167" fontId="4" fillId="6" borderId="0" xfId="1" applyNumberFormat="1" applyFont="1" applyFill="1"/>
    <xf numFmtId="164" fontId="6" fillId="0" borderId="0" xfId="0" applyNumberFormat="1" applyFont="1" applyAlignment="1">
      <alignment horizontal="right"/>
    </xf>
    <xf numFmtId="167" fontId="4" fillId="0" borderId="0" xfId="1" applyNumberFormat="1" applyFont="1" applyFill="1"/>
    <xf numFmtId="0" fontId="8" fillId="0" borderId="0" xfId="4" applyFont="1" applyAlignment="1">
      <alignment horizontal="center"/>
    </xf>
    <xf numFmtId="0" fontId="8" fillId="0" borderId="0" xfId="4" applyFont="1"/>
    <xf numFmtId="0" fontId="9" fillId="0" borderId="0" xfId="4" quotePrefix="1" applyFont="1" applyAlignment="1">
      <alignment horizontal="center" vertical="center"/>
    </xf>
    <xf numFmtId="0" fontId="8" fillId="0" borderId="0" xfId="4" applyFont="1" applyAlignment="1">
      <alignment vertical="center" wrapText="1"/>
    </xf>
    <xf numFmtId="0" fontId="8" fillId="0" borderId="0" xfId="4" applyFont="1" applyAlignment="1">
      <alignment horizontal="center" wrapText="1"/>
    </xf>
    <xf numFmtId="0" fontId="10" fillId="0" borderId="0" xfId="4" applyFont="1" applyAlignment="1">
      <alignment horizontal="center" wrapText="1"/>
    </xf>
    <xf numFmtId="166" fontId="8" fillId="0" borderId="0" xfId="4" applyNumberFormat="1" applyFont="1" applyAlignment="1">
      <alignment horizontal="center" wrapText="1"/>
    </xf>
    <xf numFmtId="0" fontId="8" fillId="0" borderId="0" xfId="4" applyFont="1" applyAlignment="1">
      <alignment wrapText="1"/>
    </xf>
    <xf numFmtId="0" fontId="11" fillId="0" borderId="0" xfId="4" applyFont="1" applyAlignment="1">
      <alignment horizontal="center"/>
    </xf>
    <xf numFmtId="169" fontId="12" fillId="3" borderId="0" xfId="5" applyNumberFormat="1" applyFont="1" applyFill="1"/>
    <xf numFmtId="169" fontId="8" fillId="0" borderId="0" xfId="4" applyNumberFormat="1" applyFont="1"/>
    <xf numFmtId="166" fontId="8" fillId="5" borderId="0" xfId="5" applyNumberFormat="1" applyFont="1" applyFill="1"/>
    <xf numFmtId="169" fontId="8" fillId="0" borderId="0" xfId="5" applyNumberFormat="1" applyFont="1"/>
    <xf numFmtId="169" fontId="8" fillId="7" borderId="0" xfId="4" applyNumberFormat="1" applyFont="1" applyFill="1"/>
    <xf numFmtId="10" fontId="8" fillId="0" borderId="0" xfId="4" applyNumberFormat="1" applyFont="1"/>
    <xf numFmtId="170" fontId="8" fillId="0" borderId="0" xfId="6" applyNumberFormat="1" applyFont="1"/>
    <xf numFmtId="169" fontId="10" fillId="0" borderId="0" xfId="5" applyNumberFormat="1" applyFont="1"/>
    <xf numFmtId="166" fontId="8" fillId="0" borderId="0" xfId="5" applyNumberFormat="1" applyFont="1"/>
    <xf numFmtId="170" fontId="8" fillId="0" borderId="0" xfId="4" applyNumberFormat="1" applyFont="1"/>
    <xf numFmtId="0" fontId="8" fillId="8" borderId="0" xfId="4" applyFont="1" applyFill="1" applyAlignment="1">
      <alignment horizontal="center"/>
    </xf>
    <xf numFmtId="169" fontId="10" fillId="8" borderId="0" xfId="5" applyNumberFormat="1" applyFont="1" applyFill="1"/>
    <xf numFmtId="169" fontId="8" fillId="8" borderId="0" xfId="4" applyNumberFormat="1" applyFont="1" applyFill="1"/>
    <xf numFmtId="166" fontId="8" fillId="9" borderId="0" xfId="5" applyNumberFormat="1" applyFont="1" applyFill="1"/>
    <xf numFmtId="169" fontId="8" fillId="8" borderId="0" xfId="5" applyNumberFormat="1" applyFont="1" applyFill="1"/>
    <xf numFmtId="169" fontId="8" fillId="9" borderId="0" xfId="5" applyNumberFormat="1" applyFont="1" applyFill="1"/>
    <xf numFmtId="0" fontId="8" fillId="9" borderId="0" xfId="4" applyFont="1" applyFill="1"/>
    <xf numFmtId="10" fontId="8" fillId="9" borderId="0" xfId="4" applyNumberFormat="1" applyFont="1" applyFill="1"/>
    <xf numFmtId="0" fontId="8" fillId="10" borderId="0" xfId="4" applyFont="1" applyFill="1" applyAlignment="1">
      <alignment horizontal="center"/>
    </xf>
    <xf numFmtId="166" fontId="8" fillId="8" borderId="0" xfId="5" applyNumberFormat="1" applyFont="1" applyFill="1"/>
    <xf numFmtId="0" fontId="8" fillId="8" borderId="0" xfId="4" applyFont="1" applyFill="1"/>
    <xf numFmtId="10" fontId="8" fillId="8" borderId="0" xfId="4" applyNumberFormat="1" applyFont="1" applyFill="1"/>
    <xf numFmtId="0" fontId="10" fillId="0" borderId="0" xfId="4" applyFont="1"/>
    <xf numFmtId="166" fontId="8" fillId="0" borderId="0" xfId="4" applyNumberFormat="1" applyFont="1"/>
    <xf numFmtId="164" fontId="4" fillId="0" borderId="0" xfId="0" applyNumberFormat="1" applyFont="1" applyAlignment="1">
      <alignment horizontal="right" vertical="center"/>
    </xf>
    <xf numFmtId="164" fontId="13" fillId="0" borderId="0" xfId="0" applyNumberFormat="1" applyFont="1" applyAlignment="1">
      <alignment horizontal="center"/>
    </xf>
    <xf numFmtId="164" fontId="14" fillId="0" borderId="0" xfId="0" applyNumberFormat="1" applyFont="1"/>
    <xf numFmtId="164" fontId="14" fillId="6" borderId="0" xfId="0" applyNumberFormat="1" applyFont="1" applyFill="1"/>
    <xf numFmtId="164" fontId="2" fillId="0" borderId="3" xfId="2" applyNumberFormat="1" applyFont="1" applyFill="1" applyBorder="1"/>
    <xf numFmtId="10" fontId="3" fillId="4" borderId="0" xfId="3" applyNumberFormat="1" applyFont="1" applyFill="1"/>
    <xf numFmtId="164" fontId="3" fillId="4" borderId="0" xfId="0" applyNumberFormat="1" applyFont="1" applyFill="1"/>
    <xf numFmtId="164" fontId="3" fillId="4" borderId="0" xfId="2" applyNumberFormat="1" applyFont="1" applyFill="1" applyBorder="1"/>
    <xf numFmtId="164" fontId="3" fillId="4" borderId="2" xfId="2" applyNumberFormat="1" applyFont="1" applyFill="1" applyBorder="1"/>
    <xf numFmtId="166" fontId="3" fillId="4" borderId="2" xfId="2" applyNumberFormat="1" applyFont="1" applyFill="1" applyBorder="1"/>
    <xf numFmtId="165" fontId="3" fillId="2" borderId="1" xfId="3" applyNumberFormat="1" applyFont="1" applyFill="1" applyBorder="1" applyAlignment="1">
      <alignment horizontal="right" vertical="center" wrapText="1"/>
    </xf>
    <xf numFmtId="0" fontId="2" fillId="12" borderId="1" xfId="0" applyFont="1" applyFill="1" applyBorder="1"/>
    <xf numFmtId="0" fontId="17" fillId="0" borderId="0" xfId="0" applyFont="1" applyAlignment="1">
      <alignment horizontal="center" vertical="center"/>
    </xf>
    <xf numFmtId="165" fontId="18" fillId="14" borderId="0" xfId="6" applyNumberFormat="1" applyFont="1" applyFill="1" applyAlignment="1">
      <alignment vertical="center"/>
    </xf>
    <xf numFmtId="165" fontId="11" fillId="0" borderId="0" xfId="6" applyNumberFormat="1" applyFont="1"/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169" fontId="20" fillId="0" borderId="0" xfId="5" applyNumberFormat="1" applyFont="1" applyAlignment="1">
      <alignment horizontal="center" vertical="center" wrapText="1"/>
    </xf>
    <xf numFmtId="169" fontId="19" fillId="0" borderId="0" xfId="0" applyNumberFormat="1" applyFont="1" applyAlignment="1">
      <alignment horizontal="center" vertical="center" wrapText="1"/>
    </xf>
    <xf numFmtId="169" fontId="17" fillId="0" borderId="0" xfId="0" applyNumberFormat="1" applyFont="1" applyAlignment="1">
      <alignment horizontal="center" vertical="center" wrapText="1"/>
    </xf>
    <xf numFmtId="169" fontId="22" fillId="0" borderId="0" xfId="0" applyNumberFormat="1" applyFont="1" applyAlignment="1">
      <alignment horizontal="center" vertical="center" wrapText="1"/>
    </xf>
    <xf numFmtId="169" fontId="20" fillId="0" borderId="0" xfId="5" applyNumberFormat="1" applyFont="1" applyAlignment="1">
      <alignment wrapText="1"/>
    </xf>
    <xf numFmtId="169" fontId="20" fillId="0" borderId="0" xfId="5" applyNumberFormat="1" applyFont="1"/>
    <xf numFmtId="0" fontId="17" fillId="0" borderId="0" xfId="0" applyFont="1" applyAlignment="1">
      <alignment horizontal="center"/>
    </xf>
    <xf numFmtId="169" fontId="19" fillId="3" borderId="0" xfId="0" applyNumberFormat="1" applyFont="1" applyFill="1"/>
    <xf numFmtId="10" fontId="11" fillId="0" borderId="0" xfId="6" applyNumberFormat="1" applyFont="1" applyAlignment="1">
      <alignment horizontal="center"/>
    </xf>
    <xf numFmtId="169" fontId="22" fillId="2" borderId="0" xfId="0" applyNumberFormat="1" applyFont="1" applyFill="1"/>
    <xf numFmtId="169" fontId="22" fillId="0" borderId="0" xfId="0" applyNumberFormat="1" applyFont="1"/>
    <xf numFmtId="169" fontId="23" fillId="0" borderId="0" xfId="5" applyNumberFormat="1" applyFont="1"/>
    <xf numFmtId="169" fontId="19" fillId="14" borderId="0" xfId="0" applyNumberFormat="1" applyFont="1" applyFill="1"/>
    <xf numFmtId="10" fontId="12" fillId="14" borderId="0" xfId="6" applyNumberFormat="1" applyFont="1" applyFill="1" applyAlignment="1">
      <alignment horizontal="center"/>
    </xf>
    <xf numFmtId="169" fontId="22" fillId="5" borderId="0" xfId="0" applyNumberFormat="1" applyFont="1" applyFill="1"/>
    <xf numFmtId="10" fontId="11" fillId="5" borderId="0" xfId="6" applyNumberFormat="1" applyFont="1" applyFill="1" applyAlignment="1">
      <alignment horizontal="center"/>
    </xf>
    <xf numFmtId="169" fontId="19" fillId="0" borderId="0" xfId="0" applyNumberFormat="1" applyFont="1"/>
    <xf numFmtId="0" fontId="17" fillId="5" borderId="0" xfId="0" applyFont="1" applyFill="1" applyAlignment="1">
      <alignment horizontal="center"/>
    </xf>
    <xf numFmtId="169" fontId="20" fillId="5" borderId="0" xfId="5" applyNumberFormat="1" applyFont="1" applyFill="1"/>
    <xf numFmtId="169" fontId="19" fillId="5" borderId="0" xfId="0" applyNumberFormat="1" applyFont="1" applyFill="1"/>
    <xf numFmtId="10" fontId="12" fillId="5" borderId="0" xfId="6" applyNumberFormat="1" applyFont="1" applyFill="1" applyAlignment="1">
      <alignment horizontal="center"/>
    </xf>
    <xf numFmtId="0" fontId="17" fillId="15" borderId="0" xfId="0" applyFont="1" applyFill="1" applyAlignment="1">
      <alignment horizontal="center"/>
    </xf>
    <xf numFmtId="169" fontId="20" fillId="15" borderId="0" xfId="5" applyNumberFormat="1" applyFont="1" applyFill="1"/>
    <xf numFmtId="169" fontId="19" fillId="15" borderId="0" xfId="0" applyNumberFormat="1" applyFont="1" applyFill="1"/>
    <xf numFmtId="10" fontId="12" fillId="15" borderId="0" xfId="6" applyNumberFormat="1" applyFont="1" applyFill="1" applyAlignment="1">
      <alignment horizontal="center"/>
    </xf>
    <xf numFmtId="169" fontId="22" fillId="15" borderId="0" xfId="0" applyNumberFormat="1" applyFont="1" applyFill="1"/>
    <xf numFmtId="0" fontId="17" fillId="16" borderId="0" xfId="0" applyFont="1" applyFill="1" applyAlignment="1">
      <alignment horizontal="center"/>
    </xf>
    <xf numFmtId="169" fontId="20" fillId="16" borderId="0" xfId="5" applyNumberFormat="1" applyFont="1" applyFill="1"/>
    <xf numFmtId="169" fontId="19" fillId="16" borderId="0" xfId="0" applyNumberFormat="1" applyFont="1" applyFill="1"/>
    <xf numFmtId="10" fontId="12" fillId="16" borderId="0" xfId="6" applyNumberFormat="1" applyFont="1" applyFill="1" applyAlignment="1">
      <alignment horizontal="center"/>
    </xf>
    <xf numFmtId="169" fontId="22" fillId="16" borderId="0" xfId="0" applyNumberFormat="1" applyFont="1" applyFill="1"/>
    <xf numFmtId="169" fontId="22" fillId="3" borderId="0" xfId="0" applyNumberFormat="1" applyFont="1" applyFill="1"/>
    <xf numFmtId="169" fontId="17" fillId="0" borderId="0" xfId="0" applyNumberFormat="1" applyFont="1" applyAlignment="1">
      <alignment horizontal="center"/>
    </xf>
    <xf numFmtId="10" fontId="21" fillId="0" borderId="0" xfId="6" applyNumberFormat="1" applyFont="1" applyAlignment="1">
      <alignment horizontal="center" vertical="center" wrapText="1"/>
    </xf>
    <xf numFmtId="171" fontId="21" fillId="0" borderId="0" xfId="6" applyNumberFormat="1" applyFont="1" applyAlignment="1">
      <alignment horizontal="center" vertical="center" wrapText="1"/>
    </xf>
    <xf numFmtId="171" fontId="21" fillId="0" borderId="0" xfId="6" applyNumberFormat="1" applyFont="1"/>
    <xf numFmtId="10" fontId="21" fillId="0" borderId="0" xfId="6" applyNumberFormat="1" applyFont="1"/>
    <xf numFmtId="164" fontId="2" fillId="0" borderId="4" xfId="2" applyNumberFormat="1" applyFont="1" applyBorder="1"/>
    <xf numFmtId="164" fontId="5" fillId="3" borderId="0" xfId="0" applyNumberFormat="1" applyFont="1" applyFill="1"/>
    <xf numFmtId="164" fontId="5" fillId="3" borderId="1" xfId="2" applyNumberFormat="1" applyFont="1" applyFill="1" applyBorder="1"/>
    <xf numFmtId="164" fontId="24" fillId="0" borderId="0" xfId="0" applyNumberFormat="1" applyFont="1" applyAlignment="1">
      <alignment horizontal="right"/>
    </xf>
    <xf numFmtId="10" fontId="2" fillId="12" borderId="0" xfId="3" applyNumberFormat="1" applyFont="1" applyFill="1"/>
    <xf numFmtId="164" fontId="2" fillId="17" borderId="1" xfId="2" applyNumberFormat="1" applyFont="1" applyFill="1" applyBorder="1"/>
    <xf numFmtId="164" fontId="15" fillId="0" borderId="0" xfId="0" applyNumberFormat="1" applyFont="1"/>
    <xf numFmtId="10" fontId="15" fillId="11" borderId="0" xfId="3" applyNumberFormat="1" applyFont="1" applyFill="1"/>
    <xf numFmtId="164" fontId="15" fillId="11" borderId="0" xfId="0" applyNumberFormat="1" applyFont="1" applyFill="1"/>
    <xf numFmtId="164" fontId="15" fillId="11" borderId="0" xfId="2" applyNumberFormat="1" applyFont="1" applyFill="1"/>
    <xf numFmtId="164" fontId="15" fillId="11" borderId="0" xfId="2" applyNumberFormat="1" applyFont="1" applyFill="1" applyBorder="1"/>
    <xf numFmtId="164" fontId="16" fillId="0" borderId="0" xfId="0" applyNumberFormat="1" applyFont="1"/>
    <xf numFmtId="164" fontId="16" fillId="6" borderId="0" xfId="0" applyNumberFormat="1" applyFont="1" applyFill="1"/>
    <xf numFmtId="10" fontId="15" fillId="0" borderId="0" xfId="3" applyNumberFormat="1" applyFont="1"/>
    <xf numFmtId="164" fontId="15" fillId="0" borderId="0" xfId="2" applyNumberFormat="1" applyFont="1"/>
    <xf numFmtId="164" fontId="15" fillId="0" borderId="0" xfId="2" applyNumberFormat="1" applyFont="1" applyFill="1" applyBorder="1"/>
    <xf numFmtId="164" fontId="4" fillId="0" borderId="2" xfId="2" applyNumberFormat="1" applyFont="1" applyBorder="1"/>
    <xf numFmtId="166" fontId="25" fillId="11" borderId="0" xfId="2" applyNumberFormat="1" applyFont="1" applyFill="1"/>
    <xf numFmtId="164" fontId="26" fillId="0" borderId="0" xfId="0" applyNumberFormat="1" applyFont="1"/>
    <xf numFmtId="10" fontId="26" fillId="0" borderId="0" xfId="3" applyNumberFormat="1" applyFont="1"/>
    <xf numFmtId="166" fontId="26" fillId="12" borderId="0" xfId="3" applyNumberFormat="1" applyFont="1" applyFill="1"/>
    <xf numFmtId="164" fontId="26" fillId="0" borderId="0" xfId="2" applyNumberFormat="1" applyFont="1"/>
    <xf numFmtId="164" fontId="26" fillId="6" borderId="0" xfId="0" applyNumberFormat="1" applyFont="1" applyFill="1"/>
    <xf numFmtId="165" fontId="26" fillId="0" borderId="0" xfId="3" applyNumberFormat="1" applyFont="1"/>
    <xf numFmtId="164" fontId="3" fillId="13" borderId="1" xfId="0" applyNumberFormat="1" applyFont="1" applyFill="1" applyBorder="1" applyAlignment="1" applyProtection="1">
      <alignment vertical="center" wrapText="1"/>
      <protection locked="0"/>
    </xf>
    <xf numFmtId="164" fontId="2" fillId="13" borderId="5" xfId="0" applyNumberFormat="1" applyFont="1" applyFill="1" applyBorder="1" applyAlignment="1" applyProtection="1">
      <alignment horizontal="left" vertical="center" wrapText="1"/>
      <protection locked="0"/>
    </xf>
    <xf numFmtId="164" fontId="2" fillId="13" borderId="6" xfId="0" applyNumberFormat="1" applyFont="1" applyFill="1" applyBorder="1" applyAlignment="1" applyProtection="1">
      <alignment horizontal="left" vertical="center" wrapText="1"/>
      <protection locked="0"/>
    </xf>
    <xf numFmtId="164" fontId="2" fillId="13" borderId="7" xfId="0" applyNumberFormat="1" applyFont="1" applyFill="1" applyBorder="1" applyAlignment="1" applyProtection="1">
      <alignment horizontal="left" vertical="center" wrapText="1"/>
      <protection locked="0"/>
    </xf>
    <xf numFmtId="164" fontId="2" fillId="13" borderId="8" xfId="0" applyNumberFormat="1" applyFont="1" applyFill="1" applyBorder="1" applyAlignment="1" applyProtection="1">
      <alignment horizontal="left" vertical="center" wrapText="1"/>
      <protection locked="0"/>
    </xf>
    <xf numFmtId="164" fontId="2" fillId="13" borderId="0" xfId="0" applyNumberFormat="1" applyFont="1" applyFill="1" applyAlignment="1" applyProtection="1">
      <alignment horizontal="left" vertical="center" wrapText="1"/>
      <protection locked="0"/>
    </xf>
    <xf numFmtId="164" fontId="2" fillId="13" borderId="4" xfId="0" applyNumberFormat="1" applyFont="1" applyFill="1" applyBorder="1" applyAlignment="1" applyProtection="1">
      <alignment horizontal="left" vertical="center" wrapText="1"/>
      <protection locked="0"/>
    </xf>
    <xf numFmtId="164" fontId="2" fillId="13" borderId="9" xfId="0" applyNumberFormat="1" applyFont="1" applyFill="1" applyBorder="1" applyAlignment="1" applyProtection="1">
      <alignment horizontal="left" vertical="center" wrapText="1"/>
      <protection locked="0"/>
    </xf>
    <xf numFmtId="164" fontId="2" fillId="13" borderId="2" xfId="0" applyNumberFormat="1" applyFont="1" applyFill="1" applyBorder="1" applyAlignment="1" applyProtection="1">
      <alignment horizontal="left" vertical="center" wrapText="1"/>
      <protection locked="0"/>
    </xf>
    <xf numFmtId="164" fontId="2" fillId="13" borderId="10" xfId="0" applyNumberFormat="1" applyFont="1" applyFill="1" applyBorder="1" applyAlignment="1" applyProtection="1">
      <alignment horizontal="left" vertical="center" wrapText="1"/>
      <protection locked="0"/>
    </xf>
    <xf numFmtId="164" fontId="14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 vertical="center" wrapText="1"/>
    </xf>
    <xf numFmtId="10" fontId="3" fillId="0" borderId="0" xfId="3" applyNumberFormat="1" applyFont="1" applyAlignment="1">
      <alignment horizontal="left"/>
    </xf>
    <xf numFmtId="0" fontId="8" fillId="0" borderId="0" xfId="4" applyFont="1" applyAlignment="1">
      <alignment horizontal="left" vertical="center" wrapText="1"/>
    </xf>
    <xf numFmtId="0" fontId="8" fillId="0" borderId="0" xfId="4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</cellXfs>
  <cellStyles count="7">
    <cellStyle name="Comma" xfId="1" builtinId="3"/>
    <cellStyle name="Currency" xfId="2" builtinId="4"/>
    <cellStyle name="Currency 2" xfId="5" xr:uid="{CBD8A37A-B681-42A7-B897-D1B2ECEB8527}"/>
    <cellStyle name="Excel Built-in Normal" xfId="4" xr:uid="{D5C47411-C3D6-4193-BB21-446B5FF7A122}"/>
    <cellStyle name="Normal" xfId="0" builtinId="0"/>
    <cellStyle name="Percent" xfId="3" builtinId="5"/>
    <cellStyle name="Percent 2" xfId="6" xr:uid="{0335423A-06D4-4327-BBC0-8FD31AD16806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82699-2944-4DC9-99A1-8ED955B3C0DE}">
  <sheetPr>
    <pageSetUpPr fitToPage="1"/>
  </sheetPr>
  <dimension ref="A2:W44"/>
  <sheetViews>
    <sheetView tabSelected="1" view="pageBreakPreview" zoomScale="60" zoomScaleNormal="80" workbookViewId="0">
      <selection activeCell="T37" sqref="T37"/>
    </sheetView>
  </sheetViews>
  <sheetFormatPr defaultRowHeight="15.5" x14ac:dyDescent="0.35"/>
  <cols>
    <col min="1" max="1" width="1.7265625" style="3" customWidth="1"/>
    <col min="2" max="2" width="8.7265625" style="3"/>
    <col min="3" max="3" width="39.1796875" style="3" customWidth="1"/>
    <col min="4" max="4" width="11.36328125" style="3" customWidth="1"/>
    <col min="5" max="5" width="3.6328125" style="3" customWidth="1"/>
    <col min="6" max="6" width="17" style="3" customWidth="1"/>
    <col min="7" max="7" width="3.6328125" style="3" customWidth="1"/>
    <col min="8" max="8" width="20" style="3" customWidth="1"/>
    <col min="9" max="9" width="5.54296875" style="3" hidden="1" customWidth="1"/>
    <col min="10" max="10" width="6.36328125" style="3" hidden="1" customWidth="1"/>
    <col min="11" max="11" width="10.6328125" style="3" hidden="1" customWidth="1"/>
    <col min="12" max="12" width="6" style="23" hidden="1" customWidth="1"/>
    <col min="13" max="13" width="2.08984375" style="3" customWidth="1"/>
    <col min="14" max="14" width="5.7265625" style="3" customWidth="1"/>
    <col min="15" max="15" width="37.6328125" style="3" customWidth="1"/>
    <col min="16" max="16" width="9.6328125" style="3" customWidth="1"/>
    <col min="17" max="17" width="2.36328125" style="3" customWidth="1"/>
    <col min="18" max="18" width="14.90625" style="3" customWidth="1"/>
    <col min="19" max="19" width="1.453125" style="3" customWidth="1"/>
    <col min="20" max="20" width="18.7265625" style="3" customWidth="1"/>
    <col min="21" max="21" width="14.453125" style="3" customWidth="1"/>
    <col min="22" max="22" width="6.453125" style="3" customWidth="1"/>
    <col min="23" max="23" width="12.36328125" style="3" customWidth="1"/>
    <col min="24" max="16384" width="8.7265625" style="3"/>
  </cols>
  <sheetData>
    <row r="2" spans="2:23" s="65" customFormat="1" ht="20.5" x14ac:dyDescent="0.45">
      <c r="C2" s="151" t="s">
        <v>28</v>
      </c>
      <c r="D2" s="151"/>
      <c r="E2" s="151"/>
      <c r="F2" s="151"/>
      <c r="G2" s="151"/>
      <c r="H2" s="151"/>
      <c r="L2" s="66"/>
      <c r="O2" s="151" t="s">
        <v>29</v>
      </c>
      <c r="P2" s="151"/>
      <c r="Q2" s="151"/>
      <c r="R2" s="151"/>
      <c r="S2" s="151"/>
      <c r="T2" s="151"/>
    </row>
    <row r="4" spans="2:23" ht="18" x14ac:dyDescent="0.4">
      <c r="B4" s="152" t="s">
        <v>47</v>
      </c>
      <c r="C4" s="152"/>
      <c r="D4" s="74">
        <v>2015</v>
      </c>
      <c r="N4" s="152" t="s">
        <v>47</v>
      </c>
      <c r="O4" s="152"/>
      <c r="P4" s="74">
        <v>2015</v>
      </c>
    </row>
    <row r="5" spans="2:23" s="1" customFormat="1" ht="18" x14ac:dyDescent="0.4">
      <c r="B5" s="153" t="s">
        <v>0</v>
      </c>
      <c r="C5" s="153"/>
      <c r="D5" s="73">
        <v>0.5</v>
      </c>
      <c r="E5" s="2"/>
      <c r="L5" s="24"/>
      <c r="N5" s="1" t="s">
        <v>1</v>
      </c>
    </row>
    <row r="6" spans="2:23" x14ac:dyDescent="0.35">
      <c r="N6" s="3" t="s">
        <v>2</v>
      </c>
    </row>
    <row r="7" spans="2:23" ht="17.5" x14ac:dyDescent="0.35">
      <c r="F7" s="64" t="s">
        <v>3</v>
      </c>
      <c r="G7" s="64"/>
      <c r="H7" s="64" t="s">
        <v>4</v>
      </c>
      <c r="R7" s="64" t="s">
        <v>3</v>
      </c>
      <c r="S7" s="64"/>
      <c r="T7" s="64" t="s">
        <v>4</v>
      </c>
    </row>
    <row r="8" spans="2:23" x14ac:dyDescent="0.35">
      <c r="J8" s="28" t="s">
        <v>5</v>
      </c>
      <c r="K8" s="28">
        <f ca="1">H19+H25+H27+H31+H34</f>
        <v>80000</v>
      </c>
      <c r="V8" s="28" t="s">
        <v>5</v>
      </c>
      <c r="W8" s="28">
        <f ca="1">T19+T25+T27+T34</f>
        <v>65000</v>
      </c>
    </row>
    <row r="9" spans="2:23" s="18" customFormat="1" ht="20" x14ac:dyDescent="0.4">
      <c r="B9" s="118" t="s">
        <v>6</v>
      </c>
      <c r="C9" s="118" t="s">
        <v>7</v>
      </c>
      <c r="F9" s="20">
        <f>H9/12</f>
        <v>6666.666666666667</v>
      </c>
      <c r="G9" s="20"/>
      <c r="H9" s="119">
        <v>80000</v>
      </c>
      <c r="J9" s="28" t="str">
        <f ca="1">IF(K8=H9,"ok", "NO")</f>
        <v>ok</v>
      </c>
      <c r="K9" s="120"/>
      <c r="L9" s="26"/>
      <c r="N9" s="118" t="s">
        <v>6</v>
      </c>
      <c r="O9" s="118" t="s">
        <v>7</v>
      </c>
      <c r="R9" s="20">
        <f>T9/12</f>
        <v>5416.666666666667</v>
      </c>
      <c r="S9" s="20"/>
      <c r="T9" s="119">
        <v>65000</v>
      </c>
      <c r="V9" s="28" t="str">
        <f>IF(W9=T10,"ok", "NO")</f>
        <v>ok</v>
      </c>
      <c r="W9" s="120"/>
    </row>
    <row r="10" spans="2:23" x14ac:dyDescent="0.35">
      <c r="F10" s="4"/>
      <c r="G10" s="4"/>
      <c r="H10" s="4"/>
      <c r="R10" s="4"/>
      <c r="S10" s="4"/>
      <c r="T10" s="4"/>
    </row>
    <row r="11" spans="2:23" s="1" customFormat="1" ht="18" x14ac:dyDescent="0.4">
      <c r="B11" s="1" t="s">
        <v>8</v>
      </c>
      <c r="C11" s="1" t="s">
        <v>9</v>
      </c>
      <c r="F11" s="141">
        <v>900</v>
      </c>
      <c r="G11" s="67"/>
      <c r="H11" s="5">
        <f>F11*12</f>
        <v>10800</v>
      </c>
      <c r="L11" s="24"/>
      <c r="N11" s="1" t="s">
        <v>8</v>
      </c>
      <c r="O11" s="1" t="s">
        <v>9</v>
      </c>
      <c r="R11" s="141">
        <v>900</v>
      </c>
      <c r="S11" s="67"/>
      <c r="T11" s="5">
        <f>R11*12</f>
        <v>10800</v>
      </c>
    </row>
    <row r="12" spans="2:23" s="1" customFormat="1" ht="18" x14ac:dyDescent="0.4">
      <c r="F12" s="6"/>
      <c r="G12" s="6"/>
      <c r="H12" s="6"/>
      <c r="L12" s="24"/>
      <c r="R12" s="6"/>
      <c r="S12" s="6"/>
      <c r="T12" s="6"/>
    </row>
    <row r="13" spans="2:23" s="1" customFormat="1" ht="18" x14ac:dyDescent="0.4">
      <c r="B13" s="1" t="s">
        <v>10</v>
      </c>
      <c r="C13" s="1" t="s">
        <v>11</v>
      </c>
      <c r="D13" s="8">
        <v>5.0000000000000001E-3</v>
      </c>
      <c r="F13" s="6">
        <f ca="1">H13/12</f>
        <v>25.62962962962963</v>
      </c>
      <c r="G13" s="6"/>
      <c r="H13" s="7">
        <f ca="1">D13*H22</f>
        <v>307.55555555555554</v>
      </c>
      <c r="L13" s="24"/>
      <c r="N13" s="1" t="s">
        <v>10</v>
      </c>
      <c r="O13" s="1" t="s">
        <v>11</v>
      </c>
      <c r="P13" s="8">
        <v>5.0000000000000001E-3</v>
      </c>
      <c r="R13" s="6">
        <f ca="1">T13/12</f>
        <v>23.976073403494258</v>
      </c>
      <c r="S13" s="6"/>
      <c r="T13" s="7">
        <f ca="1">P13*(T$22+U$31)</f>
        <v>287.71287982327044</v>
      </c>
    </row>
    <row r="14" spans="2:23" s="1" customFormat="1" ht="18" x14ac:dyDescent="0.4">
      <c r="C14" s="8"/>
      <c r="D14" s="9"/>
      <c r="E14" s="9"/>
      <c r="F14" s="6"/>
      <c r="G14" s="6"/>
      <c r="H14" s="6"/>
      <c r="L14" s="24"/>
      <c r="O14" s="8"/>
      <c r="P14" s="9"/>
      <c r="Q14" s="9"/>
      <c r="R14" s="6"/>
      <c r="S14" s="6"/>
      <c r="T14" s="6"/>
    </row>
    <row r="15" spans="2:23" s="1" customFormat="1" ht="18" x14ac:dyDescent="0.4">
      <c r="B15" s="1" t="s">
        <v>12</v>
      </c>
      <c r="C15" s="9" t="s">
        <v>13</v>
      </c>
      <c r="D15" s="121">
        <v>0.12</v>
      </c>
      <c r="E15" s="9"/>
      <c r="F15" s="10">
        <f ca="1">H15/12</f>
        <v>615.11111111111109</v>
      </c>
      <c r="G15" s="117"/>
      <c r="H15" s="7">
        <f ca="1">D15*H22</f>
        <v>7381.333333333333</v>
      </c>
      <c r="L15" s="24"/>
      <c r="N15" s="1" t="s">
        <v>12</v>
      </c>
      <c r="O15" s="9" t="s">
        <v>13</v>
      </c>
      <c r="P15" s="121">
        <v>0.12</v>
      </c>
      <c r="Q15" s="9"/>
      <c r="R15" s="10">
        <f ca="1">T15/12</f>
        <v>575.42576168386222</v>
      </c>
      <c r="S15" s="10"/>
      <c r="T15" s="7">
        <f ca="1">P15*(T$22+U$31)</f>
        <v>6905.1091157584897</v>
      </c>
    </row>
    <row r="16" spans="2:23" s="1" customFormat="1" ht="18" x14ac:dyDescent="0.4">
      <c r="C16" s="8"/>
      <c r="D16" s="9"/>
      <c r="E16" s="9"/>
      <c r="F16" s="6"/>
      <c r="G16" s="6"/>
      <c r="H16" s="6"/>
      <c r="L16" s="24"/>
      <c r="O16" s="8"/>
      <c r="P16" s="9"/>
      <c r="Q16" s="9"/>
      <c r="R16" s="6"/>
      <c r="S16" s="6"/>
      <c r="T16" s="6"/>
    </row>
    <row r="17" spans="1:21" s="12" customFormat="1" ht="18" x14ac:dyDescent="0.4">
      <c r="B17" s="3"/>
      <c r="C17" s="11"/>
      <c r="D17" s="11"/>
      <c r="E17" s="11"/>
      <c r="F17" s="4"/>
      <c r="G17" s="4"/>
      <c r="H17" s="4"/>
      <c r="L17" s="25"/>
      <c r="N17" s="1" t="s">
        <v>14</v>
      </c>
      <c r="O17" s="9" t="s">
        <v>15</v>
      </c>
      <c r="P17" s="9"/>
      <c r="Q17" s="9"/>
      <c r="R17" s="6">
        <f>T17/12</f>
        <v>150</v>
      </c>
      <c r="S17" s="6"/>
      <c r="T17" s="13">
        <v>1800</v>
      </c>
    </row>
    <row r="18" spans="1:21" ht="17.5" x14ac:dyDescent="0.35">
      <c r="A18" s="12"/>
      <c r="C18" s="11"/>
      <c r="D18" s="11"/>
      <c r="E18" s="11"/>
      <c r="F18" s="4"/>
      <c r="G18" s="4"/>
      <c r="H18" s="4"/>
      <c r="O18" s="11"/>
      <c r="P18" s="11"/>
      <c r="Q18" s="11"/>
      <c r="R18" s="4"/>
      <c r="S18" s="4"/>
      <c r="T18" s="4"/>
    </row>
    <row r="19" spans="1:21" s="12" customFormat="1" ht="17.5" x14ac:dyDescent="0.35">
      <c r="B19" s="68" t="s">
        <v>16</v>
      </c>
      <c r="C19" s="69"/>
      <c r="D19" s="68"/>
      <c r="E19" s="68"/>
      <c r="F19" s="71">
        <f ca="1">H19/12</f>
        <v>1540.7407407407406</v>
      </c>
      <c r="G19" s="70"/>
      <c r="H19" s="71">
        <f ca="1">SUM(H11:H16)</f>
        <v>18488.888888888887</v>
      </c>
      <c r="L19" s="25"/>
      <c r="N19" s="68" t="s">
        <v>16</v>
      </c>
      <c r="O19" s="69"/>
      <c r="P19" s="68"/>
      <c r="Q19" s="68"/>
      <c r="R19" s="71">
        <f ca="1">T19/12</f>
        <v>1649.4018350873564</v>
      </c>
      <c r="S19" s="70"/>
      <c r="T19" s="72">
        <f ca="1">T11+T13+T15+T17</f>
        <v>19792.821995581759</v>
      </c>
    </row>
    <row r="20" spans="1:21" ht="17.5" x14ac:dyDescent="0.35">
      <c r="A20" s="12"/>
      <c r="B20" s="14"/>
      <c r="C20" s="12"/>
      <c r="D20" s="14"/>
      <c r="E20" s="14"/>
      <c r="F20" s="15"/>
      <c r="G20" s="15"/>
      <c r="H20" s="16"/>
      <c r="N20" s="14"/>
      <c r="O20" s="12"/>
      <c r="P20" s="14"/>
      <c r="Q20" s="14"/>
      <c r="R20" s="15"/>
      <c r="S20" s="15"/>
      <c r="T20" s="16"/>
    </row>
    <row r="21" spans="1:21" ht="17.5" x14ac:dyDescent="0.35">
      <c r="B21" s="14"/>
      <c r="C21" s="12"/>
      <c r="D21" s="14"/>
      <c r="E21" s="14"/>
      <c r="F21" s="15"/>
      <c r="G21" s="15"/>
      <c r="H21" s="16"/>
      <c r="O21" s="11"/>
      <c r="P21" s="11"/>
      <c r="Q21" s="11"/>
      <c r="R21" s="4"/>
      <c r="S21" s="4"/>
      <c r="T21" s="4"/>
    </row>
    <row r="22" spans="1:21" s="1" customFormat="1" ht="18" x14ac:dyDescent="0.4">
      <c r="A22" s="12"/>
      <c r="B22" s="154" t="s">
        <v>17</v>
      </c>
      <c r="C22" s="154"/>
      <c r="D22" s="154"/>
      <c r="E22" s="154"/>
      <c r="F22" s="17">
        <f ca="1">H22/12</f>
        <v>5125.9259259259261</v>
      </c>
      <c r="G22" s="17"/>
      <c r="H22" s="17">
        <f ca="1">H9-H19</f>
        <v>61511.111111111109</v>
      </c>
      <c r="L22" s="24"/>
      <c r="N22" s="154" t="s">
        <v>17</v>
      </c>
      <c r="O22" s="154"/>
      <c r="P22" s="154"/>
      <c r="Q22" s="154"/>
      <c r="R22" s="17">
        <f ca="1">T22/12</f>
        <v>3767.2648315793103</v>
      </c>
      <c r="S22" s="17"/>
      <c r="T22" s="17">
        <f ca="1">T9-T19</f>
        <v>45207.178004418238</v>
      </c>
    </row>
    <row r="23" spans="1:21" s="1" customFormat="1" ht="18" x14ac:dyDescent="0.4">
      <c r="A23" s="3"/>
      <c r="B23" s="3"/>
      <c r="C23" s="11"/>
      <c r="D23" s="11"/>
      <c r="E23" s="11"/>
      <c r="F23" s="4"/>
      <c r="G23" s="4"/>
      <c r="H23" s="4"/>
      <c r="L23" s="24"/>
      <c r="N23" s="3"/>
      <c r="O23" s="11"/>
      <c r="P23" s="11"/>
      <c r="Q23" s="11"/>
      <c r="R23" s="4"/>
      <c r="S23" s="4"/>
      <c r="T23" s="4"/>
    </row>
    <row r="24" spans="1:21" s="1" customFormat="1" ht="18" x14ac:dyDescent="0.4">
      <c r="A24" s="3"/>
      <c r="B24" s="3"/>
      <c r="C24" s="11"/>
      <c r="D24" s="11"/>
      <c r="E24" s="11"/>
      <c r="F24" s="4"/>
      <c r="G24" s="4"/>
      <c r="H24" s="4"/>
      <c r="L24" s="24"/>
      <c r="N24" s="3"/>
      <c r="O24" s="11"/>
      <c r="P24" s="11"/>
      <c r="Q24" s="11"/>
      <c r="R24" s="4"/>
      <c r="S24" s="4"/>
      <c r="T24" s="4"/>
    </row>
    <row r="25" spans="1:21" ht="18" x14ac:dyDescent="0.4">
      <c r="A25" s="1"/>
      <c r="B25" s="1" t="s">
        <v>18</v>
      </c>
      <c r="C25" s="9" t="s">
        <v>51</v>
      </c>
      <c r="D25" s="9"/>
      <c r="E25" s="9"/>
      <c r="F25" s="6">
        <f ca="1">H25/12</f>
        <v>364.26691438303141</v>
      </c>
      <c r="G25" s="6"/>
      <c r="H25" s="6">
        <f ca="1">((H22-H25)*0.0765)</f>
        <v>4371.2029725963766</v>
      </c>
      <c r="N25" s="1" t="s">
        <v>18</v>
      </c>
      <c r="O25" s="9" t="s">
        <v>51</v>
      </c>
      <c r="P25" s="9"/>
      <c r="Q25" s="9"/>
      <c r="R25" s="6">
        <f ca="1">T25/12</f>
        <v>340.76537146964159</v>
      </c>
      <c r="S25" s="6"/>
      <c r="T25" s="6">
        <f ca="1">((T34+U31)*0.0765)</f>
        <v>4089.1844502869067</v>
      </c>
    </row>
    <row r="26" spans="1:21" s="18" customFormat="1" ht="20" x14ac:dyDescent="0.4">
      <c r="A26" s="1"/>
      <c r="B26" s="1"/>
      <c r="C26" s="9"/>
      <c r="D26" s="9"/>
      <c r="E26" s="9"/>
      <c r="F26" s="6"/>
      <c r="G26" s="6"/>
      <c r="H26" s="6"/>
      <c r="L26" s="26"/>
      <c r="N26" s="1"/>
      <c r="O26" s="9"/>
      <c r="P26" s="9"/>
      <c r="Q26" s="9"/>
      <c r="R26" s="6"/>
      <c r="S26" s="6"/>
      <c r="T26" s="6"/>
    </row>
    <row r="27" spans="1:21" ht="18" x14ac:dyDescent="0.4">
      <c r="A27" s="1"/>
      <c r="B27" s="1" t="s">
        <v>19</v>
      </c>
      <c r="C27" s="9" t="s">
        <v>20</v>
      </c>
      <c r="D27" s="9"/>
      <c r="E27" s="9"/>
      <c r="F27" s="6">
        <f>H27/12</f>
        <v>0</v>
      </c>
      <c r="G27" s="6"/>
      <c r="H27" s="122"/>
      <c r="N27" s="1" t="s">
        <v>19</v>
      </c>
      <c r="O27" s="9" t="s">
        <v>20</v>
      </c>
      <c r="P27" s="9"/>
      <c r="Q27" s="9"/>
      <c r="R27" s="6">
        <f>T27/12</f>
        <v>0</v>
      </c>
      <c r="S27" s="6"/>
      <c r="T27" s="122"/>
    </row>
    <row r="28" spans="1:21" s="1" customFormat="1" ht="18" x14ac:dyDescent="0.4">
      <c r="A28" s="3"/>
      <c r="B28" s="3"/>
      <c r="C28" s="11"/>
      <c r="D28" s="11"/>
      <c r="E28" s="11"/>
      <c r="F28" s="4"/>
      <c r="G28" s="4"/>
      <c r="H28" s="19"/>
      <c r="L28" s="24"/>
      <c r="N28" s="3"/>
      <c r="O28" s="11"/>
      <c r="P28" s="11"/>
      <c r="Q28" s="11"/>
      <c r="R28" s="4"/>
      <c r="S28" s="4"/>
      <c r="T28" s="19"/>
    </row>
    <row r="29" spans="1:21" s="128" customFormat="1" ht="23" x14ac:dyDescent="0.5">
      <c r="A29" s="123"/>
      <c r="B29" s="124" t="s">
        <v>21</v>
      </c>
      <c r="C29" s="125"/>
      <c r="D29" s="124"/>
      <c r="E29" s="124"/>
      <c r="F29" s="126"/>
      <c r="G29" s="126"/>
      <c r="H29" s="127">
        <f ca="1">H22-H25-H27</f>
        <v>57139.908138514729</v>
      </c>
      <c r="L29" s="129"/>
      <c r="N29" s="130" t="s">
        <v>21</v>
      </c>
      <c r="O29" s="123"/>
      <c r="P29" s="130"/>
      <c r="Q29" s="130"/>
      <c r="R29" s="131"/>
      <c r="S29" s="131"/>
      <c r="T29" s="132">
        <f ca="1">T22-T25-T27</f>
        <v>41117.993554131332</v>
      </c>
    </row>
    <row r="30" spans="1:21" x14ac:dyDescent="0.35">
      <c r="C30" s="11"/>
      <c r="D30" s="11"/>
      <c r="E30" s="11"/>
      <c r="F30" s="4"/>
      <c r="G30" s="4"/>
      <c r="H30" s="19"/>
      <c r="O30" s="11"/>
      <c r="P30" s="11"/>
      <c r="Q30" s="11"/>
      <c r="R30" s="4"/>
      <c r="S30" s="4"/>
      <c r="T30" s="19"/>
    </row>
    <row r="31" spans="1:21" s="18" customFormat="1" ht="20" x14ac:dyDescent="0.4">
      <c r="A31" s="1"/>
      <c r="B31" s="1" t="s">
        <v>22</v>
      </c>
      <c r="C31" s="9" t="s">
        <v>52</v>
      </c>
      <c r="D31" s="9"/>
      <c r="E31" s="9"/>
      <c r="F31" s="6">
        <f ca="1">H31/12</f>
        <v>1587.2196705142978</v>
      </c>
      <c r="G31" s="6"/>
      <c r="H31" s="21">
        <f ca="1">D5/(D5+1)*(H22-H27-H25)</f>
        <v>19046.636046171574</v>
      </c>
      <c r="L31" s="26"/>
      <c r="N31" s="1" t="s">
        <v>22</v>
      </c>
      <c r="O31" s="9" t="s">
        <v>23</v>
      </c>
      <c r="P31" s="9"/>
      <c r="Q31" s="9"/>
      <c r="R31" s="6"/>
      <c r="S31" s="6"/>
      <c r="U31" s="21">
        <f ca="1">0.3*(T34)</f>
        <v>12335.398056394808</v>
      </c>
    </row>
    <row r="32" spans="1:21" x14ac:dyDescent="0.35">
      <c r="C32" s="11" t="s">
        <v>24</v>
      </c>
      <c r="D32" s="11"/>
      <c r="E32" s="11"/>
      <c r="F32" s="4"/>
      <c r="G32" s="4"/>
      <c r="H32" s="4"/>
      <c r="O32" s="11" t="s">
        <v>24</v>
      </c>
      <c r="P32" s="11"/>
      <c r="Q32" s="11"/>
      <c r="R32" s="4"/>
      <c r="S32" s="4"/>
      <c r="T32" s="4"/>
    </row>
    <row r="33" spans="1:20" x14ac:dyDescent="0.35">
      <c r="C33" s="11"/>
      <c r="D33" s="11"/>
      <c r="E33" s="11"/>
      <c r="F33" s="4"/>
      <c r="G33" s="4"/>
      <c r="H33" s="133"/>
      <c r="K33" s="22"/>
      <c r="L33" s="27"/>
      <c r="M33" s="29"/>
      <c r="O33" s="11"/>
      <c r="P33" s="11"/>
      <c r="Q33" s="11"/>
      <c r="R33" s="4"/>
      <c r="S33" s="4"/>
      <c r="T33" s="133"/>
    </row>
    <row r="34" spans="1:20" ht="23" x14ac:dyDescent="0.5">
      <c r="A34" s="18"/>
      <c r="B34" s="125" t="s">
        <v>25</v>
      </c>
      <c r="C34" s="124" t="s">
        <v>26</v>
      </c>
      <c r="D34" s="124"/>
      <c r="E34" s="124"/>
      <c r="F34" s="126">
        <f ca="1">H34/12</f>
        <v>3174.439341028597</v>
      </c>
      <c r="G34" s="126"/>
      <c r="H34" s="134">
        <f ca="1">H22-H31-H27-H25</f>
        <v>38093.272092343163</v>
      </c>
      <c r="I34" s="128"/>
      <c r="J34" s="128"/>
      <c r="K34" s="128"/>
      <c r="L34" s="129"/>
      <c r="M34" s="128"/>
      <c r="N34" s="125" t="s">
        <v>25</v>
      </c>
      <c r="O34" s="124" t="s">
        <v>26</v>
      </c>
      <c r="P34" s="124"/>
      <c r="Q34" s="124"/>
      <c r="R34" s="126">
        <f ca="1">T34/12</f>
        <v>3426.4994601096691</v>
      </c>
      <c r="S34" s="126"/>
      <c r="T34" s="134">
        <f ca="1">T22-T25-T27</f>
        <v>41117.993554131332</v>
      </c>
    </row>
    <row r="35" spans="1:20" ht="17.5" customHeight="1" x14ac:dyDescent="0.35">
      <c r="C35" s="11"/>
      <c r="D35" s="11"/>
      <c r="E35" s="11"/>
      <c r="F35" s="4"/>
      <c r="G35" s="4"/>
      <c r="H35" s="4"/>
    </row>
    <row r="36" spans="1:20" ht="17.5" customHeight="1" x14ac:dyDescent="0.35">
      <c r="C36" s="11"/>
      <c r="D36" s="11"/>
      <c r="E36" s="11"/>
      <c r="F36" s="4"/>
      <c r="G36" s="4"/>
      <c r="H36" s="4"/>
    </row>
    <row r="37" spans="1:20" s="135" customFormat="1" ht="17.5" customHeight="1" x14ac:dyDescent="0.45">
      <c r="C37" s="136" t="s">
        <v>53</v>
      </c>
      <c r="D37" s="137">
        <f>VLOOKUP(D4,'2027 Minister Salary Table'!$B$4:$E$44,2,FALSE)</f>
        <v>56303.303522512753</v>
      </c>
      <c r="E37" s="136"/>
      <c r="F37" s="138"/>
      <c r="G37" s="138"/>
      <c r="H37" s="136"/>
      <c r="L37" s="139"/>
      <c r="O37" s="136" t="s">
        <v>53</v>
      </c>
      <c r="Q37" s="136"/>
      <c r="R37" s="137">
        <f>VLOOKUP(P4,'2027 Minister Salary Table'!$B$4:$E$44,2,FALSE)</f>
        <v>56303.303522512753</v>
      </c>
      <c r="S37" s="138"/>
      <c r="T37" s="136"/>
    </row>
    <row r="38" spans="1:20" s="135" customFormat="1" ht="17.5" customHeight="1" x14ac:dyDescent="0.45">
      <c r="C38" s="136" t="s">
        <v>46</v>
      </c>
      <c r="D38" s="140">
        <f ca="1">H34/D37</f>
        <v>0.67657259359766786</v>
      </c>
      <c r="E38" s="136"/>
      <c r="F38" s="138"/>
      <c r="G38" s="138"/>
      <c r="H38" s="138"/>
      <c r="L38" s="139"/>
      <c r="O38" s="136" t="s">
        <v>46</v>
      </c>
      <c r="R38" s="140">
        <f ca="1">T34/R37</f>
        <v>0.73029451171884419</v>
      </c>
    </row>
    <row r="39" spans="1:20" x14ac:dyDescent="0.35">
      <c r="C39" s="11"/>
      <c r="D39" s="11"/>
      <c r="E39" s="11"/>
      <c r="F39" s="4"/>
      <c r="G39" s="4"/>
      <c r="H39" s="4"/>
    </row>
    <row r="41" spans="1:20" ht="27" customHeight="1" x14ac:dyDescent="0.35">
      <c r="B41" s="63" t="s">
        <v>27</v>
      </c>
      <c r="C41" s="142" t="s">
        <v>54</v>
      </c>
      <c r="D41" s="143"/>
      <c r="E41" s="143"/>
      <c r="F41" s="143"/>
      <c r="G41" s="143"/>
      <c r="H41" s="144"/>
      <c r="N41" s="63" t="s">
        <v>27</v>
      </c>
      <c r="O41" s="142" t="s">
        <v>54</v>
      </c>
      <c r="P41" s="143"/>
      <c r="Q41" s="143"/>
      <c r="R41" s="143"/>
      <c r="S41" s="143"/>
      <c r="T41" s="144"/>
    </row>
    <row r="42" spans="1:20" ht="18" customHeight="1" x14ac:dyDescent="0.35">
      <c r="C42" s="145"/>
      <c r="D42" s="146"/>
      <c r="E42" s="146"/>
      <c r="F42" s="146"/>
      <c r="G42" s="146"/>
      <c r="H42" s="147"/>
      <c r="O42" s="145"/>
      <c r="P42" s="146"/>
      <c r="Q42" s="146"/>
      <c r="R42" s="146"/>
      <c r="S42" s="146"/>
      <c r="T42" s="147"/>
    </row>
    <row r="43" spans="1:20" ht="18" customHeight="1" x14ac:dyDescent="0.35">
      <c r="C43" s="145"/>
      <c r="D43" s="146"/>
      <c r="E43" s="146"/>
      <c r="F43" s="146"/>
      <c r="G43" s="146"/>
      <c r="H43" s="147"/>
      <c r="O43" s="145"/>
      <c r="P43" s="146"/>
      <c r="Q43" s="146"/>
      <c r="R43" s="146"/>
      <c r="S43" s="146"/>
      <c r="T43" s="147"/>
    </row>
    <row r="44" spans="1:20" ht="35.5" customHeight="1" x14ac:dyDescent="0.35">
      <c r="C44" s="148"/>
      <c r="D44" s="149"/>
      <c r="E44" s="149"/>
      <c r="F44" s="149"/>
      <c r="G44" s="149"/>
      <c r="H44" s="150"/>
      <c r="O44" s="148"/>
      <c r="P44" s="149"/>
      <c r="Q44" s="149"/>
      <c r="R44" s="149"/>
      <c r="S44" s="149"/>
      <c r="T44" s="150"/>
    </row>
  </sheetData>
  <mergeCells count="9">
    <mergeCell ref="C41:H44"/>
    <mergeCell ref="O41:T44"/>
    <mergeCell ref="C2:H2"/>
    <mergeCell ref="O2:T2"/>
    <mergeCell ref="B4:C4"/>
    <mergeCell ref="N4:O4"/>
    <mergeCell ref="B5:C5"/>
    <mergeCell ref="B22:E22"/>
    <mergeCell ref="N22:Q22"/>
  </mergeCells>
  <pageMargins left="0.7" right="0.7" top="0.75" bottom="0.75" header="0.3" footer="0.3"/>
  <pageSetup scale="80" fitToWidth="0" orientation="portrait" horizontalDpi="4294967293" verticalDpi="4294967293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12177-CB85-4918-9D5E-E26F571150B6}">
  <dimension ref="A2:R45"/>
  <sheetViews>
    <sheetView topLeftCell="A2" zoomScaleNormal="100" workbookViewId="0">
      <selection activeCell="B5" sqref="B5"/>
    </sheetView>
  </sheetViews>
  <sheetFormatPr defaultColWidth="12.1796875" defaultRowHeight="13" x14ac:dyDescent="0.3"/>
  <cols>
    <col min="1" max="1" width="8.81640625" style="30" customWidth="1"/>
    <col min="2" max="2" width="9.1796875" style="30" customWidth="1"/>
    <col min="3" max="3" width="8.54296875" style="61" customWidth="1"/>
    <col min="4" max="4" width="2.90625" style="31" hidden="1" customWidth="1"/>
    <col min="5" max="5" width="11.26953125" style="62" customWidth="1"/>
    <col min="6" max="6" width="9.7265625" style="31" hidden="1" customWidth="1"/>
    <col min="7" max="7" width="10.1796875" style="31" hidden="1" customWidth="1"/>
    <col min="8" max="8" width="13" style="31" hidden="1" customWidth="1"/>
    <col min="9" max="9" width="12.1796875" style="31"/>
    <col min="10" max="10" width="5.54296875" style="31" customWidth="1"/>
    <col min="11" max="11" width="8.7265625" style="31" customWidth="1"/>
    <col min="12" max="12" width="12.453125" style="31" customWidth="1"/>
    <col min="13" max="13" width="5.453125" style="31" customWidth="1"/>
    <col min="14" max="14" width="8.81640625" style="31" customWidth="1"/>
    <col min="15" max="15" width="12.453125" style="31" customWidth="1"/>
    <col min="16" max="16384" width="12.1796875" style="31"/>
  </cols>
  <sheetData>
    <row r="2" spans="1:18" ht="38.5" customHeight="1" x14ac:dyDescent="0.3">
      <c r="B2" s="155" t="s">
        <v>30</v>
      </c>
      <c r="C2" s="155"/>
      <c r="E2" s="32" t="s">
        <v>55</v>
      </c>
      <c r="J2" s="33"/>
      <c r="K2" s="156" t="s">
        <v>32</v>
      </c>
      <c r="L2" s="156"/>
      <c r="M2" s="156"/>
      <c r="N2" s="156"/>
      <c r="O2" s="156"/>
      <c r="P2" s="156"/>
      <c r="Q2" s="33"/>
      <c r="R2" s="33"/>
    </row>
    <row r="3" spans="1:18" s="34" customFormat="1" ht="39" x14ac:dyDescent="0.3">
      <c r="A3" s="34" t="s">
        <v>33</v>
      </c>
      <c r="B3" s="34" t="s">
        <v>34</v>
      </c>
      <c r="C3" s="35" t="s">
        <v>35</v>
      </c>
      <c r="E3" s="36" t="s">
        <v>36</v>
      </c>
      <c r="F3" s="34" t="s">
        <v>37</v>
      </c>
      <c r="G3" s="34" t="s">
        <v>38</v>
      </c>
      <c r="H3" s="34" t="s">
        <v>39</v>
      </c>
      <c r="J3" s="31" t="s">
        <v>40</v>
      </c>
      <c r="K3" s="37" t="s">
        <v>41</v>
      </c>
      <c r="L3" s="31" t="s">
        <v>42</v>
      </c>
      <c r="M3" s="34" t="s">
        <v>40</v>
      </c>
      <c r="N3" s="34" t="s">
        <v>43</v>
      </c>
      <c r="O3" s="34" t="s">
        <v>44</v>
      </c>
    </row>
    <row r="4" spans="1:18" ht="14" x14ac:dyDescent="0.3">
      <c r="A4" s="30" t="s">
        <v>45</v>
      </c>
      <c r="B4" s="38">
        <v>2027</v>
      </c>
      <c r="C4" s="39">
        <v>46573</v>
      </c>
      <c r="D4" s="40"/>
      <c r="E4" s="41">
        <f t="shared" ref="E4:E44" si="0">SUM(C4*K4)+C4</f>
        <v>48477.835700000003</v>
      </c>
      <c r="F4" s="42">
        <f t="shared" ref="F4:F44" si="1">SUM(E4*0.5)</f>
        <v>24238.917850000002</v>
      </c>
      <c r="G4" s="42">
        <f t="shared" ref="G4:G44" si="2">SUM(E4+F4)*0.0765</f>
        <v>5562.8316465750004</v>
      </c>
      <c r="H4" s="43">
        <f t="shared" ref="H4:H44" si="3">SUM(E4+F4+G4)</f>
        <v>78279.585196575004</v>
      </c>
      <c r="J4" s="31">
        <v>0</v>
      </c>
      <c r="K4" s="44">
        <v>4.0899999999999999E-2</v>
      </c>
      <c r="L4" s="45">
        <f>((0.0409-0.023)/40)</f>
        <v>4.4749999999999998E-4</v>
      </c>
      <c r="M4" s="31">
        <v>0</v>
      </c>
      <c r="N4" s="44"/>
      <c r="O4" s="45"/>
    </row>
    <row r="5" spans="1:18" x14ac:dyDescent="0.3">
      <c r="A5" s="30">
        <v>1</v>
      </c>
      <c r="B5" s="30">
        <f t="shared" ref="B5:B44" si="4">B4-1</f>
        <v>2026</v>
      </c>
      <c r="C5" s="46">
        <f t="shared" ref="C5:C44" si="5">SUM(C4*N5)+C4</f>
        <v>47411.313999999998</v>
      </c>
      <c r="D5" s="40"/>
      <c r="E5" s="47">
        <f t="shared" si="0"/>
        <v>49329.220179584998</v>
      </c>
      <c r="F5" s="42">
        <f t="shared" si="1"/>
        <v>24664.610089792499</v>
      </c>
      <c r="G5" s="42">
        <f t="shared" si="2"/>
        <v>5660.5280156073786</v>
      </c>
      <c r="H5" s="40">
        <f t="shared" si="3"/>
        <v>79654.35828498489</v>
      </c>
      <c r="J5" s="31">
        <v>1</v>
      </c>
      <c r="K5" s="44">
        <f t="shared" ref="K5:K44" si="6">K4-$L$4</f>
        <v>4.0452500000000002E-2</v>
      </c>
      <c r="L5" s="48"/>
      <c r="M5" s="31">
        <v>1</v>
      </c>
      <c r="N5" s="44">
        <v>1.7999999999999999E-2</v>
      </c>
      <c r="O5" s="45">
        <f>((0.02-0.005)/40)</f>
        <v>3.7500000000000001E-4</v>
      </c>
    </row>
    <row r="6" spans="1:18" x14ac:dyDescent="0.3">
      <c r="A6" s="30">
        <v>2</v>
      </c>
      <c r="B6" s="30">
        <f t="shared" si="4"/>
        <v>2025</v>
      </c>
      <c r="C6" s="46">
        <f t="shared" si="5"/>
        <v>48246.938409249997</v>
      </c>
      <c r="D6" s="40"/>
      <c r="E6" s="47">
        <f t="shared" si="0"/>
        <v>50177.05718031204</v>
      </c>
      <c r="F6" s="42">
        <f t="shared" si="1"/>
        <v>25088.52859015602</v>
      </c>
      <c r="G6" s="42">
        <f t="shared" si="2"/>
        <v>5757.8173114408055</v>
      </c>
      <c r="H6" s="40">
        <f t="shared" si="3"/>
        <v>81023.403081908851</v>
      </c>
      <c r="J6" s="31">
        <v>2</v>
      </c>
      <c r="K6" s="44">
        <f t="shared" si="6"/>
        <v>4.0004999999999999E-2</v>
      </c>
      <c r="M6" s="31">
        <v>2</v>
      </c>
      <c r="N6" s="44">
        <f t="shared" ref="N6:N44" si="7">N5-$O$5</f>
        <v>1.7624999999999998E-2</v>
      </c>
    </row>
    <row r="7" spans="1:18" x14ac:dyDescent="0.3">
      <c r="A7" s="30">
        <v>3</v>
      </c>
      <c r="B7" s="30">
        <f t="shared" si="4"/>
        <v>2024</v>
      </c>
      <c r="C7" s="46">
        <f t="shared" si="5"/>
        <v>49079.19809680956</v>
      </c>
      <c r="D7" s="40"/>
      <c r="E7" s="47">
        <f t="shared" si="0"/>
        <v>51020.648475524104</v>
      </c>
      <c r="F7" s="42">
        <f t="shared" si="1"/>
        <v>25510.324237762052</v>
      </c>
      <c r="G7" s="42">
        <f t="shared" si="2"/>
        <v>5854.6194125663915</v>
      </c>
      <c r="H7" s="40">
        <f t="shared" si="3"/>
        <v>82385.592125852549</v>
      </c>
      <c r="J7" s="31">
        <v>3</v>
      </c>
      <c r="K7" s="44">
        <f t="shared" si="6"/>
        <v>3.9557499999999995E-2</v>
      </c>
      <c r="M7" s="31">
        <v>3</v>
      </c>
      <c r="N7" s="44">
        <f t="shared" si="7"/>
        <v>1.7249999999999998E-2</v>
      </c>
    </row>
    <row r="8" spans="1:18" x14ac:dyDescent="0.3">
      <c r="A8" s="30">
        <v>4</v>
      </c>
      <c r="B8" s="30">
        <f t="shared" si="4"/>
        <v>2023</v>
      </c>
      <c r="C8" s="46">
        <f t="shared" si="5"/>
        <v>49907.409564693218</v>
      </c>
      <c r="D8" s="40"/>
      <c r="E8" s="47">
        <f t="shared" si="0"/>
        <v>51859.288352768366</v>
      </c>
      <c r="F8" s="42">
        <f t="shared" si="1"/>
        <v>25929.644176384183</v>
      </c>
      <c r="G8" s="42">
        <f t="shared" si="2"/>
        <v>5950.8533384801694</v>
      </c>
      <c r="H8" s="40">
        <f t="shared" si="3"/>
        <v>83739.785867632716</v>
      </c>
      <c r="J8" s="31">
        <v>4</v>
      </c>
      <c r="K8" s="44">
        <f t="shared" si="6"/>
        <v>3.9109999999999992E-2</v>
      </c>
      <c r="M8" s="31">
        <v>4</v>
      </c>
      <c r="N8" s="44">
        <f t="shared" si="7"/>
        <v>1.6874999999999998E-2</v>
      </c>
    </row>
    <row r="9" spans="1:18" s="55" customFormat="1" x14ac:dyDescent="0.3">
      <c r="A9" s="49">
        <v>5</v>
      </c>
      <c r="B9" s="49">
        <f t="shared" si="4"/>
        <v>2022</v>
      </c>
      <c r="C9" s="50">
        <f t="shared" si="5"/>
        <v>50730.881822510659</v>
      </c>
      <c r="D9" s="51"/>
      <c r="E9" s="52">
        <f t="shared" si="0"/>
        <v>52692.264540973476</v>
      </c>
      <c r="F9" s="53">
        <f t="shared" si="1"/>
        <v>26346.132270486738</v>
      </c>
      <c r="G9" s="54">
        <f t="shared" si="2"/>
        <v>6046.4373560767062</v>
      </c>
      <c r="H9" s="51">
        <f t="shared" si="3"/>
        <v>85084.83416753693</v>
      </c>
      <c r="J9" s="55">
        <v>5</v>
      </c>
      <c r="K9" s="56">
        <f t="shared" si="6"/>
        <v>3.8662499999999989E-2</v>
      </c>
      <c r="M9" s="55">
        <v>5</v>
      </c>
      <c r="N9" s="56">
        <f t="shared" si="7"/>
        <v>1.6499999999999997E-2</v>
      </c>
      <c r="P9" s="55">
        <f>C9/C4</f>
        <v>1.089276658632913</v>
      </c>
    </row>
    <row r="10" spans="1:18" x14ac:dyDescent="0.3">
      <c r="A10" s="30">
        <v>6</v>
      </c>
      <c r="B10" s="57">
        <f t="shared" si="4"/>
        <v>2021</v>
      </c>
      <c r="C10" s="46">
        <f t="shared" si="5"/>
        <v>51548.917291898644</v>
      </c>
      <c r="D10" s="40"/>
      <c r="E10" s="47">
        <f t="shared" si="0"/>
        <v>53518.859166208553</v>
      </c>
      <c r="F10" s="42">
        <f t="shared" si="1"/>
        <v>26759.429583104276</v>
      </c>
      <c r="G10" s="42">
        <f t="shared" si="2"/>
        <v>6141.2890893224321</v>
      </c>
      <c r="H10" s="40">
        <f t="shared" si="3"/>
        <v>86419.577838635276</v>
      </c>
      <c r="J10" s="31">
        <v>6</v>
      </c>
      <c r="K10" s="44">
        <f t="shared" si="6"/>
        <v>3.8214999999999985E-2</v>
      </c>
      <c r="M10" s="31">
        <v>6</v>
      </c>
      <c r="N10" s="44">
        <f t="shared" si="7"/>
        <v>1.6124999999999997E-2</v>
      </c>
    </row>
    <row r="11" spans="1:18" x14ac:dyDescent="0.3">
      <c r="A11" s="30">
        <v>7</v>
      </c>
      <c r="B11" s="30">
        <f t="shared" si="4"/>
        <v>2020</v>
      </c>
      <c r="C11" s="46">
        <f t="shared" si="5"/>
        <v>52360.812739246045</v>
      </c>
      <c r="D11" s="40"/>
      <c r="E11" s="47">
        <f t="shared" si="0"/>
        <v>54338.349734375515</v>
      </c>
      <c r="F11" s="42">
        <f t="shared" si="1"/>
        <v>27169.174867187758</v>
      </c>
      <c r="G11" s="42">
        <f t="shared" si="2"/>
        <v>6235.3256320195906</v>
      </c>
      <c r="H11" s="40">
        <f t="shared" si="3"/>
        <v>87742.850233582867</v>
      </c>
      <c r="J11" s="31">
        <v>7</v>
      </c>
      <c r="K11" s="44">
        <f t="shared" si="6"/>
        <v>3.7767499999999982E-2</v>
      </c>
      <c r="M11" s="31">
        <v>7</v>
      </c>
      <c r="N11" s="44">
        <f t="shared" si="7"/>
        <v>1.5749999999999997E-2</v>
      </c>
    </row>
    <row r="12" spans="1:18" x14ac:dyDescent="0.3">
      <c r="A12" s="30">
        <v>8</v>
      </c>
      <c r="B12" s="30">
        <f t="shared" si="4"/>
        <v>2019</v>
      </c>
      <c r="C12" s="46">
        <f t="shared" si="5"/>
        <v>53165.860235111955</v>
      </c>
      <c r="D12" s="40"/>
      <c r="E12" s="47">
        <f t="shared" si="0"/>
        <v>55150.010139086335</v>
      </c>
      <c r="F12" s="42">
        <f t="shared" si="1"/>
        <v>27575.005069543167</v>
      </c>
      <c r="G12" s="42">
        <f t="shared" si="2"/>
        <v>6328.4636634601566</v>
      </c>
      <c r="H12" s="40">
        <f t="shared" si="3"/>
        <v>89053.478872089661</v>
      </c>
      <c r="J12" s="31">
        <v>8</v>
      </c>
      <c r="K12" s="44">
        <f t="shared" si="6"/>
        <v>3.7319999999999978E-2</v>
      </c>
      <c r="M12" s="31">
        <v>8</v>
      </c>
      <c r="N12" s="44">
        <f t="shared" si="7"/>
        <v>1.5374999999999996E-2</v>
      </c>
    </row>
    <row r="13" spans="1:18" x14ac:dyDescent="0.3">
      <c r="A13" s="30">
        <v>9</v>
      </c>
      <c r="B13" s="30">
        <f t="shared" si="4"/>
        <v>2018</v>
      </c>
      <c r="C13" s="46">
        <f t="shared" si="5"/>
        <v>53963.348138638634</v>
      </c>
      <c r="D13" s="40"/>
      <c r="E13" s="47">
        <f t="shared" si="0"/>
        <v>55953.111692880586</v>
      </c>
      <c r="F13" s="42">
        <f t="shared" si="1"/>
        <v>27976.555846440293</v>
      </c>
      <c r="G13" s="42">
        <f t="shared" si="2"/>
        <v>6420.6195667580478</v>
      </c>
      <c r="H13" s="40">
        <f t="shared" si="3"/>
        <v>90350.287106078933</v>
      </c>
      <c r="J13" s="31">
        <v>9</v>
      </c>
      <c r="K13" s="44">
        <f t="shared" si="6"/>
        <v>3.6872499999999975E-2</v>
      </c>
      <c r="M13" s="31">
        <v>9</v>
      </c>
      <c r="N13" s="44">
        <f t="shared" si="7"/>
        <v>1.4999999999999996E-2</v>
      </c>
    </row>
    <row r="14" spans="1:18" s="59" customFormat="1" x14ac:dyDescent="0.3">
      <c r="A14" s="49">
        <v>10</v>
      </c>
      <c r="B14" s="49">
        <f t="shared" si="4"/>
        <v>2017</v>
      </c>
      <c r="C14" s="50">
        <f t="shared" si="5"/>
        <v>54752.562105166224</v>
      </c>
      <c r="D14" s="51"/>
      <c r="E14" s="58">
        <f t="shared" si="0"/>
        <v>56746.924179846901</v>
      </c>
      <c r="F14" s="53">
        <f t="shared" si="1"/>
        <v>28373.462089923451</v>
      </c>
      <c r="G14" s="53">
        <f t="shared" si="2"/>
        <v>6511.7095496374322</v>
      </c>
      <c r="H14" s="51">
        <f t="shared" si="3"/>
        <v>91632.095819407798</v>
      </c>
      <c r="J14" s="59">
        <v>10</v>
      </c>
      <c r="K14" s="60">
        <f t="shared" si="6"/>
        <v>3.6424999999999971E-2</v>
      </c>
      <c r="M14" s="59">
        <v>10</v>
      </c>
      <c r="N14" s="60">
        <f t="shared" si="7"/>
        <v>1.4624999999999996E-2</v>
      </c>
    </row>
    <row r="15" spans="1:18" x14ac:dyDescent="0.3">
      <c r="A15" s="30">
        <v>11</v>
      </c>
      <c r="B15" s="57">
        <f t="shared" si="4"/>
        <v>2016</v>
      </c>
      <c r="C15" s="46">
        <f t="shared" si="5"/>
        <v>55532.786115164839</v>
      </c>
      <c r="D15" s="40"/>
      <c r="E15" s="47">
        <f t="shared" si="0"/>
        <v>57530.71692762318</v>
      </c>
      <c r="F15" s="42">
        <f t="shared" si="1"/>
        <v>28765.35846381159</v>
      </c>
      <c r="G15" s="42">
        <f t="shared" si="2"/>
        <v>6601.6497674447601</v>
      </c>
      <c r="H15" s="40">
        <f t="shared" si="3"/>
        <v>92897.725158879533</v>
      </c>
      <c r="J15" s="31">
        <v>11</v>
      </c>
      <c r="K15" s="44">
        <f t="shared" si="6"/>
        <v>3.5977499999999968E-2</v>
      </c>
      <c r="M15" s="31">
        <v>11</v>
      </c>
      <c r="N15" s="44">
        <f t="shared" si="7"/>
        <v>1.4249999999999995E-2</v>
      </c>
    </row>
    <row r="16" spans="1:18" x14ac:dyDescent="0.3">
      <c r="A16" s="30">
        <v>12</v>
      </c>
      <c r="B16" s="30">
        <f t="shared" si="4"/>
        <v>2015</v>
      </c>
      <c r="C16" s="46">
        <f t="shared" si="5"/>
        <v>56303.303522512753</v>
      </c>
      <c r="D16" s="40"/>
      <c r="E16" s="47">
        <f t="shared" si="0"/>
        <v>58303.759896667631</v>
      </c>
      <c r="F16" s="42">
        <f t="shared" si="1"/>
        <v>29151.879948333815</v>
      </c>
      <c r="G16" s="42">
        <f t="shared" si="2"/>
        <v>6690.356448142611</v>
      </c>
      <c r="H16" s="40">
        <f t="shared" si="3"/>
        <v>94145.996293144068</v>
      </c>
      <c r="J16" s="31">
        <v>12</v>
      </c>
      <c r="K16" s="44">
        <f t="shared" si="6"/>
        <v>3.5529999999999964E-2</v>
      </c>
      <c r="M16" s="31">
        <v>12</v>
      </c>
      <c r="N16" s="44">
        <f t="shared" si="7"/>
        <v>1.3874999999999995E-2</v>
      </c>
    </row>
    <row r="17" spans="1:14" x14ac:dyDescent="0.3">
      <c r="A17" s="30">
        <v>13</v>
      </c>
      <c r="B17" s="30">
        <f t="shared" si="4"/>
        <v>2014</v>
      </c>
      <c r="C17" s="46">
        <f t="shared" si="5"/>
        <v>57063.398120066675</v>
      </c>
      <c r="D17" s="40"/>
      <c r="E17" s="47">
        <f t="shared" si="0"/>
        <v>59065.324784613913</v>
      </c>
      <c r="F17" s="42">
        <f t="shared" si="1"/>
        <v>29532.662392306956</v>
      </c>
      <c r="G17" s="42">
        <f t="shared" si="2"/>
        <v>6777.7460190344464</v>
      </c>
      <c r="H17" s="40">
        <f t="shared" si="3"/>
        <v>95375.733195955312</v>
      </c>
      <c r="J17" s="31">
        <v>13</v>
      </c>
      <c r="K17" s="44">
        <f t="shared" si="6"/>
        <v>3.5082499999999961E-2</v>
      </c>
      <c r="M17" s="31">
        <v>13</v>
      </c>
      <c r="N17" s="44">
        <f t="shared" si="7"/>
        <v>1.3499999999999995E-2</v>
      </c>
    </row>
    <row r="18" spans="1:14" x14ac:dyDescent="0.3">
      <c r="A18" s="30">
        <v>14</v>
      </c>
      <c r="B18" s="30">
        <f t="shared" si="4"/>
        <v>2013</v>
      </c>
      <c r="C18" s="46">
        <f t="shared" si="5"/>
        <v>57812.35522039255</v>
      </c>
      <c r="D18" s="40"/>
      <c r="E18" s="47">
        <f t="shared" si="0"/>
        <v>59814.686143450846</v>
      </c>
      <c r="F18" s="42">
        <f t="shared" si="1"/>
        <v>29907.343071725423</v>
      </c>
      <c r="G18" s="42">
        <f t="shared" si="2"/>
        <v>6863.7352349609846</v>
      </c>
      <c r="H18" s="40">
        <f t="shared" si="3"/>
        <v>96585.764450137256</v>
      </c>
      <c r="J18" s="31">
        <v>14</v>
      </c>
      <c r="K18" s="44">
        <f t="shared" si="6"/>
        <v>3.4634999999999957E-2</v>
      </c>
      <c r="M18" s="31">
        <v>14</v>
      </c>
      <c r="N18" s="44">
        <f t="shared" si="7"/>
        <v>1.3124999999999994E-2</v>
      </c>
    </row>
    <row r="19" spans="1:14" s="59" customFormat="1" x14ac:dyDescent="0.3">
      <c r="A19" s="49">
        <v>15</v>
      </c>
      <c r="B19" s="49">
        <f t="shared" si="4"/>
        <v>2012</v>
      </c>
      <c r="C19" s="50">
        <f t="shared" si="5"/>
        <v>58549.462749452556</v>
      </c>
      <c r="D19" s="51"/>
      <c r="E19" s="58">
        <f t="shared" si="0"/>
        <v>60551.122507199463</v>
      </c>
      <c r="F19" s="53">
        <f t="shared" si="1"/>
        <v>30275.561253599732</v>
      </c>
      <c r="G19" s="53">
        <f t="shared" si="2"/>
        <v>6948.2413077011379</v>
      </c>
      <c r="H19" s="51">
        <f t="shared" si="3"/>
        <v>97774.925068500335</v>
      </c>
      <c r="J19" s="59">
        <v>15</v>
      </c>
      <c r="K19" s="60">
        <f t="shared" si="6"/>
        <v>3.4187499999999954E-2</v>
      </c>
      <c r="M19" s="59">
        <v>15</v>
      </c>
      <c r="N19" s="60">
        <f t="shared" si="7"/>
        <v>1.2749999999999994E-2</v>
      </c>
    </row>
    <row r="20" spans="1:14" x14ac:dyDescent="0.3">
      <c r="A20" s="30">
        <v>16</v>
      </c>
      <c r="B20" s="57">
        <f t="shared" si="4"/>
        <v>2011</v>
      </c>
      <c r="C20" s="46">
        <f t="shared" si="5"/>
        <v>59274.012350977027</v>
      </c>
      <c r="D20" s="40"/>
      <c r="E20" s="47">
        <f t="shared" si="0"/>
        <v>61273.917527698992</v>
      </c>
      <c r="F20" s="42">
        <f t="shared" si="1"/>
        <v>30636.958763849496</v>
      </c>
      <c r="G20" s="42">
        <f t="shared" si="2"/>
        <v>7031.1820363034585</v>
      </c>
      <c r="H20" s="40">
        <f t="shared" si="3"/>
        <v>98942.058327851948</v>
      </c>
      <c r="J20" s="31">
        <v>16</v>
      </c>
      <c r="K20" s="44">
        <f t="shared" si="6"/>
        <v>3.3739999999999951E-2</v>
      </c>
      <c r="M20" s="31">
        <v>16</v>
      </c>
      <c r="N20" s="44">
        <f t="shared" si="7"/>
        <v>1.2374999999999994E-2</v>
      </c>
    </row>
    <row r="21" spans="1:14" x14ac:dyDescent="0.3">
      <c r="A21" s="30">
        <v>17</v>
      </c>
      <c r="B21" s="30">
        <f t="shared" si="4"/>
        <v>2010</v>
      </c>
      <c r="C21" s="46">
        <f t="shared" si="5"/>
        <v>59985.30049918875</v>
      </c>
      <c r="D21" s="40"/>
      <c r="E21" s="47">
        <f t="shared" si="0"/>
        <v>61982.361116057989</v>
      </c>
      <c r="F21" s="42">
        <f t="shared" si="1"/>
        <v>30991.180558028995</v>
      </c>
      <c r="G21" s="42">
        <f t="shared" si="2"/>
        <v>7112.4759380676542</v>
      </c>
      <c r="H21" s="40">
        <f t="shared" si="3"/>
        <v>100086.01761215464</v>
      </c>
      <c r="J21" s="31">
        <v>17</v>
      </c>
      <c r="K21" s="44">
        <f t="shared" si="6"/>
        <v>3.3292499999999947E-2</v>
      </c>
      <c r="M21" s="31">
        <v>17</v>
      </c>
      <c r="N21" s="44">
        <f t="shared" si="7"/>
        <v>1.1999999999999993E-2</v>
      </c>
    </row>
    <row r="22" spans="1:14" x14ac:dyDescent="0.3">
      <c r="A22" s="30">
        <v>18</v>
      </c>
      <c r="B22" s="30">
        <f t="shared" si="4"/>
        <v>2009</v>
      </c>
      <c r="C22" s="46">
        <f t="shared" si="5"/>
        <v>60682.629617491817</v>
      </c>
      <c r="D22" s="40"/>
      <c r="E22" s="47">
        <f t="shared" si="0"/>
        <v>62675.750587278329</v>
      </c>
      <c r="F22" s="42">
        <f t="shared" si="1"/>
        <v>31337.875293639165</v>
      </c>
      <c r="G22" s="42">
        <f t="shared" si="2"/>
        <v>7192.0423798901875</v>
      </c>
      <c r="H22" s="40">
        <f t="shared" si="3"/>
        <v>101205.66826080768</v>
      </c>
      <c r="J22" s="31">
        <v>18</v>
      </c>
      <c r="K22" s="44">
        <f t="shared" si="6"/>
        <v>3.2844999999999944E-2</v>
      </c>
      <c r="M22" s="31">
        <v>18</v>
      </c>
      <c r="N22" s="44">
        <f t="shared" si="7"/>
        <v>1.1624999999999993E-2</v>
      </c>
    </row>
    <row r="23" spans="1:14" x14ac:dyDescent="0.3">
      <c r="A23" s="30">
        <v>19</v>
      </c>
      <c r="B23" s="30">
        <f t="shared" si="4"/>
        <v>2008</v>
      </c>
      <c r="C23" s="46">
        <f t="shared" si="5"/>
        <v>61365.3092006886</v>
      </c>
      <c r="D23" s="40"/>
      <c r="E23" s="47">
        <f t="shared" si="0"/>
        <v>63353.391805517902</v>
      </c>
      <c r="F23" s="42">
        <f t="shared" si="1"/>
        <v>31676.695902758951</v>
      </c>
      <c r="G23" s="42">
        <f t="shared" si="2"/>
        <v>7269.8017096831791</v>
      </c>
      <c r="H23" s="40">
        <f t="shared" si="3"/>
        <v>102299.88941796003</v>
      </c>
      <c r="J23" s="31">
        <v>19</v>
      </c>
      <c r="K23" s="44">
        <f t="shared" si="6"/>
        <v>3.239749999999994E-2</v>
      </c>
      <c r="M23" s="31">
        <v>19</v>
      </c>
      <c r="N23" s="44">
        <f t="shared" si="7"/>
        <v>1.1249999999999993E-2</v>
      </c>
    </row>
    <row r="24" spans="1:14" s="59" customFormat="1" x14ac:dyDescent="0.3">
      <c r="A24" s="49">
        <v>20</v>
      </c>
      <c r="B24" s="49">
        <f t="shared" si="4"/>
        <v>2007</v>
      </c>
      <c r="C24" s="50">
        <f t="shared" si="5"/>
        <v>62032.656938246088</v>
      </c>
      <c r="D24" s="51"/>
      <c r="E24" s="58">
        <f t="shared" si="0"/>
        <v>64014.600327423046</v>
      </c>
      <c r="F24" s="53">
        <f t="shared" si="1"/>
        <v>32007.300163711523</v>
      </c>
      <c r="G24" s="53">
        <f t="shared" si="2"/>
        <v>7345.6753875717941</v>
      </c>
      <c r="H24" s="51">
        <f t="shared" si="3"/>
        <v>103367.57587870637</v>
      </c>
      <c r="J24" s="59">
        <v>20</v>
      </c>
      <c r="K24" s="60">
        <f t="shared" si="6"/>
        <v>3.1949999999999937E-2</v>
      </c>
      <c r="M24" s="59">
        <v>20</v>
      </c>
      <c r="N24" s="60">
        <f t="shared" si="7"/>
        <v>1.0874999999999992E-2</v>
      </c>
    </row>
    <row r="25" spans="1:14" x14ac:dyDescent="0.3">
      <c r="A25" s="30">
        <v>21</v>
      </c>
      <c r="B25" s="57">
        <f t="shared" si="4"/>
        <v>2006</v>
      </c>
      <c r="C25" s="46">
        <f t="shared" si="5"/>
        <v>62683.999836097668</v>
      </c>
      <c r="D25" s="40"/>
      <c r="E25" s="47">
        <f t="shared" si="0"/>
        <v>64658.702540934333</v>
      </c>
      <c r="F25" s="42">
        <f t="shared" si="1"/>
        <v>32329.351270467167</v>
      </c>
      <c r="G25" s="42">
        <f t="shared" si="2"/>
        <v>7419.5861165722154</v>
      </c>
      <c r="H25" s="40">
        <f t="shared" si="3"/>
        <v>104407.63992797372</v>
      </c>
      <c r="J25" s="31">
        <v>21</v>
      </c>
      <c r="K25" s="44">
        <f t="shared" si="6"/>
        <v>3.1502499999999933E-2</v>
      </c>
      <c r="M25" s="31">
        <v>21</v>
      </c>
      <c r="N25" s="44">
        <f t="shared" si="7"/>
        <v>1.0499999999999992E-2</v>
      </c>
    </row>
    <row r="26" spans="1:14" x14ac:dyDescent="0.3">
      <c r="A26" s="30">
        <v>22</v>
      </c>
      <c r="B26" s="30">
        <f t="shared" si="4"/>
        <v>2005</v>
      </c>
      <c r="C26" s="46">
        <f t="shared" si="5"/>
        <v>63318.675334438158</v>
      </c>
      <c r="D26" s="40"/>
      <c r="E26" s="47">
        <f t="shared" si="0"/>
        <v>65285.036796949127</v>
      </c>
      <c r="F26" s="42">
        <f t="shared" si="1"/>
        <v>32642.518398474564</v>
      </c>
      <c r="G26" s="42">
        <f t="shared" si="2"/>
        <v>7491.4579724499117</v>
      </c>
      <c r="H26" s="40">
        <f t="shared" si="3"/>
        <v>105419.01316787359</v>
      </c>
      <c r="J26" s="31">
        <v>22</v>
      </c>
      <c r="K26" s="44">
        <f t="shared" si="6"/>
        <v>3.1054999999999933E-2</v>
      </c>
      <c r="M26" s="31">
        <v>22</v>
      </c>
      <c r="N26" s="44">
        <f t="shared" si="7"/>
        <v>1.0124999999999992E-2</v>
      </c>
    </row>
    <row r="27" spans="1:14" x14ac:dyDescent="0.3">
      <c r="A27" s="30">
        <v>23</v>
      </c>
      <c r="B27" s="30">
        <f t="shared" si="4"/>
        <v>2004</v>
      </c>
      <c r="C27" s="46">
        <f t="shared" si="5"/>
        <v>63936.032418948933</v>
      </c>
      <c r="D27" s="40"/>
      <c r="E27" s="47">
        <f t="shared" si="0"/>
        <v>65892.954531211901</v>
      </c>
      <c r="F27" s="42">
        <f t="shared" si="1"/>
        <v>32946.47726560595</v>
      </c>
      <c r="G27" s="42">
        <f t="shared" si="2"/>
        <v>7561.2165324565658</v>
      </c>
      <c r="H27" s="40">
        <f t="shared" si="3"/>
        <v>106400.64832927442</v>
      </c>
      <c r="J27" s="31">
        <v>23</v>
      </c>
      <c r="K27" s="44">
        <f t="shared" si="6"/>
        <v>3.0607499999999933E-2</v>
      </c>
      <c r="M27" s="31">
        <v>23</v>
      </c>
      <c r="N27" s="44">
        <f t="shared" si="7"/>
        <v>9.7499999999999913E-3</v>
      </c>
    </row>
    <row r="28" spans="1:14" x14ac:dyDescent="0.3">
      <c r="A28" s="30">
        <v>24</v>
      </c>
      <c r="B28" s="30">
        <f t="shared" si="4"/>
        <v>2003</v>
      </c>
      <c r="C28" s="46">
        <f t="shared" si="5"/>
        <v>64535.432722876576</v>
      </c>
      <c r="D28" s="40"/>
      <c r="E28" s="47">
        <f t="shared" si="0"/>
        <v>66481.821373798535</v>
      </c>
      <c r="F28" s="42">
        <f t="shared" si="1"/>
        <v>33240.910686899268</v>
      </c>
      <c r="G28" s="42">
        <f t="shared" si="2"/>
        <v>7628.7890026433815</v>
      </c>
      <c r="H28" s="40">
        <f t="shared" si="3"/>
        <v>107351.52106334118</v>
      </c>
      <c r="J28" s="31">
        <v>24</v>
      </c>
      <c r="K28" s="44">
        <f t="shared" si="6"/>
        <v>3.0159999999999933E-2</v>
      </c>
      <c r="M28" s="31">
        <v>24</v>
      </c>
      <c r="N28" s="44">
        <f t="shared" si="7"/>
        <v>9.374999999999991E-3</v>
      </c>
    </row>
    <row r="29" spans="1:14" s="59" customFormat="1" x14ac:dyDescent="0.3">
      <c r="A29" s="49">
        <v>25</v>
      </c>
      <c r="B29" s="49">
        <f t="shared" si="4"/>
        <v>2002</v>
      </c>
      <c r="C29" s="50">
        <f t="shared" si="5"/>
        <v>65116.251617382462</v>
      </c>
      <c r="D29" s="51"/>
      <c r="E29" s="58">
        <f t="shared" si="0"/>
        <v>67051.018243563929</v>
      </c>
      <c r="F29" s="53">
        <f t="shared" si="1"/>
        <v>33525.509121781964</v>
      </c>
      <c r="G29" s="53">
        <f t="shared" si="2"/>
        <v>7694.1043434489602</v>
      </c>
      <c r="H29" s="51">
        <f t="shared" si="3"/>
        <v>108270.63170879484</v>
      </c>
      <c r="J29" s="59">
        <v>25</v>
      </c>
      <c r="K29" s="60">
        <f t="shared" si="6"/>
        <v>2.9712499999999933E-2</v>
      </c>
      <c r="M29" s="59">
        <v>25</v>
      </c>
      <c r="N29" s="60">
        <f t="shared" si="7"/>
        <v>8.9999999999999906E-3</v>
      </c>
    </row>
    <row r="30" spans="1:14" x14ac:dyDescent="0.3">
      <c r="A30" s="30">
        <v>26</v>
      </c>
      <c r="B30" s="57">
        <f t="shared" si="4"/>
        <v>2001</v>
      </c>
      <c r="C30" s="46">
        <f t="shared" si="5"/>
        <v>65677.879287582386</v>
      </c>
      <c r="D30" s="40"/>
      <c r="E30" s="47">
        <f t="shared" si="0"/>
        <v>67599.942424933484</v>
      </c>
      <c r="F30" s="42">
        <f t="shared" si="1"/>
        <v>33799.971212466742</v>
      </c>
      <c r="G30" s="42">
        <f t="shared" si="2"/>
        <v>7757.0933932611169</v>
      </c>
      <c r="H30" s="40">
        <f t="shared" si="3"/>
        <v>109157.00703066135</v>
      </c>
      <c r="J30" s="31">
        <v>26</v>
      </c>
      <c r="K30" s="44">
        <f t="shared" si="6"/>
        <v>2.9264999999999933E-2</v>
      </c>
      <c r="M30" s="31">
        <v>26</v>
      </c>
      <c r="N30" s="44">
        <f t="shared" si="7"/>
        <v>8.6249999999999903E-3</v>
      </c>
    </row>
    <row r="31" spans="1:14" x14ac:dyDescent="0.3">
      <c r="A31" s="30">
        <v>27</v>
      </c>
      <c r="B31" s="30">
        <f t="shared" si="4"/>
        <v>2000</v>
      </c>
      <c r="C31" s="46">
        <f t="shared" si="5"/>
        <v>66219.721791704942</v>
      </c>
      <c r="D31" s="40"/>
      <c r="E31" s="47">
        <f t="shared" si="0"/>
        <v>68128.008624437396</v>
      </c>
      <c r="F31" s="42">
        <f t="shared" si="1"/>
        <v>34064.004312218698</v>
      </c>
      <c r="G31" s="42">
        <f t="shared" si="2"/>
        <v>7817.6889896541916</v>
      </c>
      <c r="H31" s="40">
        <f t="shared" si="3"/>
        <v>110009.7019263103</v>
      </c>
      <c r="J31" s="31">
        <v>27</v>
      </c>
      <c r="K31" s="44">
        <f t="shared" si="6"/>
        <v>2.8817499999999933E-2</v>
      </c>
      <c r="M31" s="31">
        <v>27</v>
      </c>
      <c r="N31" s="44">
        <f t="shared" si="7"/>
        <v>8.24999999999999E-3</v>
      </c>
    </row>
    <row r="32" spans="1:14" x14ac:dyDescent="0.3">
      <c r="A32" s="30">
        <v>28</v>
      </c>
      <c r="B32" s="30">
        <f t="shared" si="4"/>
        <v>1999</v>
      </c>
      <c r="C32" s="46">
        <f t="shared" si="5"/>
        <v>66741.202100814611</v>
      </c>
      <c r="D32" s="40"/>
      <c r="E32" s="47">
        <f t="shared" si="0"/>
        <v>68634.650004414711</v>
      </c>
      <c r="F32" s="42">
        <f t="shared" si="1"/>
        <v>34317.325002207355</v>
      </c>
      <c r="G32" s="42">
        <f t="shared" si="2"/>
        <v>7875.8260880065873</v>
      </c>
      <c r="H32" s="40">
        <f t="shared" si="3"/>
        <v>110827.80109462865</v>
      </c>
      <c r="J32" s="31">
        <v>28</v>
      </c>
      <c r="K32" s="44">
        <f t="shared" si="6"/>
        <v>2.8369999999999933E-2</v>
      </c>
      <c r="M32" s="31">
        <v>28</v>
      </c>
      <c r="N32" s="44">
        <f t="shared" si="7"/>
        <v>7.8749999999999896E-3</v>
      </c>
    </row>
    <row r="33" spans="1:14" x14ac:dyDescent="0.3">
      <c r="A33" s="30">
        <v>29</v>
      </c>
      <c r="B33" s="30">
        <f t="shared" si="4"/>
        <v>1998</v>
      </c>
      <c r="C33" s="46">
        <f t="shared" si="5"/>
        <v>67241.76111657072</v>
      </c>
      <c r="D33" s="40"/>
      <c r="E33" s="47">
        <f t="shared" si="0"/>
        <v>69119.319191348157</v>
      </c>
      <c r="F33" s="42">
        <f t="shared" si="1"/>
        <v>34559.659595674078</v>
      </c>
      <c r="G33" s="42">
        <f t="shared" si="2"/>
        <v>7931.4418772072013</v>
      </c>
      <c r="H33" s="40">
        <f t="shared" si="3"/>
        <v>111610.42066422943</v>
      </c>
      <c r="J33" s="31">
        <v>29</v>
      </c>
      <c r="K33" s="44">
        <f t="shared" si="6"/>
        <v>2.7922499999999933E-2</v>
      </c>
      <c r="M33" s="31">
        <v>29</v>
      </c>
      <c r="N33" s="44">
        <f t="shared" si="7"/>
        <v>7.4999999999999893E-3</v>
      </c>
    </row>
    <row r="34" spans="1:14" s="59" customFormat="1" x14ac:dyDescent="0.3">
      <c r="A34" s="49">
        <v>30</v>
      </c>
      <c r="B34" s="49">
        <f t="shared" si="4"/>
        <v>1997</v>
      </c>
      <c r="C34" s="50">
        <f t="shared" si="5"/>
        <v>67720.858664526284</v>
      </c>
      <c r="D34" s="51"/>
      <c r="E34" s="58">
        <f t="shared" si="0"/>
        <v>69581.489256334142</v>
      </c>
      <c r="F34" s="53">
        <f t="shared" si="1"/>
        <v>34790.744628167071</v>
      </c>
      <c r="G34" s="53">
        <f t="shared" si="2"/>
        <v>7984.4758921643424</v>
      </c>
      <c r="H34" s="51">
        <f t="shared" si="3"/>
        <v>112356.70977666555</v>
      </c>
      <c r="J34" s="59">
        <v>30</v>
      </c>
      <c r="K34" s="60">
        <f t="shared" si="6"/>
        <v>2.7474999999999934E-2</v>
      </c>
      <c r="M34" s="59">
        <v>30</v>
      </c>
      <c r="N34" s="60">
        <f t="shared" si="7"/>
        <v>7.124999999999989E-3</v>
      </c>
    </row>
    <row r="35" spans="1:14" x14ac:dyDescent="0.3">
      <c r="A35" s="30">
        <v>31</v>
      </c>
      <c r="B35" s="57">
        <f t="shared" si="4"/>
        <v>1996</v>
      </c>
      <c r="C35" s="46">
        <f t="shared" si="5"/>
        <v>68177.974460511832</v>
      </c>
      <c r="D35" s="40"/>
      <c r="E35" s="47">
        <f t="shared" si="0"/>
        <v>70020.654665243317</v>
      </c>
      <c r="F35" s="42">
        <f t="shared" si="1"/>
        <v>35010.327332621659</v>
      </c>
      <c r="G35" s="42">
        <f t="shared" si="2"/>
        <v>8034.8701228366708</v>
      </c>
      <c r="H35" s="40">
        <f t="shared" si="3"/>
        <v>113065.85212070165</v>
      </c>
      <c r="J35" s="31">
        <v>31</v>
      </c>
      <c r="K35" s="44">
        <f t="shared" si="6"/>
        <v>2.7027499999999934E-2</v>
      </c>
      <c r="M35" s="31">
        <v>31</v>
      </c>
      <c r="N35" s="44">
        <f t="shared" si="7"/>
        <v>6.7499999999999886E-3</v>
      </c>
    </row>
    <row r="36" spans="1:14" x14ac:dyDescent="0.3">
      <c r="A36" s="30">
        <v>32</v>
      </c>
      <c r="B36" s="30">
        <f t="shared" si="4"/>
        <v>1995</v>
      </c>
      <c r="C36" s="46">
        <f t="shared" si="5"/>
        <v>68612.609047697595</v>
      </c>
      <c r="D36" s="40"/>
      <c r="E36" s="47">
        <f t="shared" si="0"/>
        <v>70436.332196185394</v>
      </c>
      <c r="F36" s="42">
        <f t="shared" si="1"/>
        <v>35218.166098092697</v>
      </c>
      <c r="G36" s="42">
        <f t="shared" si="2"/>
        <v>8082.5691195122736</v>
      </c>
      <c r="H36" s="40">
        <f t="shared" si="3"/>
        <v>113737.06741379037</v>
      </c>
      <c r="J36" s="31">
        <v>32</v>
      </c>
      <c r="K36" s="44">
        <f t="shared" si="6"/>
        <v>2.6579999999999934E-2</v>
      </c>
      <c r="M36" s="31">
        <v>32</v>
      </c>
      <c r="N36" s="44">
        <f t="shared" si="7"/>
        <v>6.3749999999999883E-3</v>
      </c>
    </row>
    <row r="37" spans="1:14" x14ac:dyDescent="0.3">
      <c r="A37" s="30">
        <v>33</v>
      </c>
      <c r="B37" s="30">
        <f t="shared" si="4"/>
        <v>1994</v>
      </c>
      <c r="C37" s="46">
        <f t="shared" si="5"/>
        <v>69024.284701983779</v>
      </c>
      <c r="D37" s="40"/>
      <c r="E37" s="47">
        <f t="shared" si="0"/>
        <v>70828.06182195837</v>
      </c>
      <c r="F37" s="42">
        <f t="shared" si="1"/>
        <v>35414.030910979185</v>
      </c>
      <c r="G37" s="42">
        <f t="shared" si="2"/>
        <v>8127.5200940697232</v>
      </c>
      <c r="H37" s="40">
        <f t="shared" si="3"/>
        <v>114369.61282700728</v>
      </c>
      <c r="J37" s="31">
        <v>33</v>
      </c>
      <c r="K37" s="44">
        <f t="shared" si="6"/>
        <v>2.6132499999999934E-2</v>
      </c>
      <c r="M37" s="31">
        <v>33</v>
      </c>
      <c r="N37" s="44">
        <f t="shared" si="7"/>
        <v>5.999999999999988E-3</v>
      </c>
    </row>
    <row r="38" spans="1:14" x14ac:dyDescent="0.3">
      <c r="A38" s="30">
        <v>34</v>
      </c>
      <c r="B38" s="30">
        <f t="shared" si="4"/>
        <v>1993</v>
      </c>
      <c r="C38" s="46">
        <f t="shared" si="5"/>
        <v>69412.546303432435</v>
      </c>
      <c r="D38" s="40"/>
      <c r="E38" s="47">
        <f t="shared" si="0"/>
        <v>71195.407555236088</v>
      </c>
      <c r="F38" s="42">
        <f t="shared" si="1"/>
        <v>35597.703777618044</v>
      </c>
      <c r="G38" s="42">
        <f t="shared" si="2"/>
        <v>8169.673016963342</v>
      </c>
      <c r="H38" s="40">
        <f t="shared" si="3"/>
        <v>114962.78434981748</v>
      </c>
      <c r="J38" s="31">
        <v>34</v>
      </c>
      <c r="K38" s="44">
        <f t="shared" si="6"/>
        <v>2.5684999999999934E-2</v>
      </c>
      <c r="M38" s="31">
        <v>34</v>
      </c>
      <c r="N38" s="44">
        <f t="shared" si="7"/>
        <v>5.6249999999999876E-3</v>
      </c>
    </row>
    <row r="39" spans="1:14" s="59" customFormat="1" x14ac:dyDescent="0.3">
      <c r="A39" s="49">
        <v>35</v>
      </c>
      <c r="B39" s="49">
        <f t="shared" si="4"/>
        <v>1992</v>
      </c>
      <c r="C39" s="50">
        <f t="shared" si="5"/>
        <v>69776.962171525447</v>
      </c>
      <c r="D39" s="51"/>
      <c r="E39" s="58">
        <f t="shared" si="0"/>
        <v>71537.958254329322</v>
      </c>
      <c r="F39" s="53">
        <f t="shared" si="1"/>
        <v>35768.979127164661</v>
      </c>
      <c r="G39" s="53">
        <f t="shared" si="2"/>
        <v>8208.9807096842887</v>
      </c>
      <c r="H39" s="51">
        <f t="shared" si="3"/>
        <v>115515.91809117826</v>
      </c>
      <c r="J39" s="59">
        <v>35</v>
      </c>
      <c r="K39" s="60">
        <f t="shared" si="6"/>
        <v>2.5237499999999934E-2</v>
      </c>
      <c r="M39" s="59">
        <v>35</v>
      </c>
      <c r="N39" s="60">
        <f t="shared" si="7"/>
        <v>5.2499999999999873E-3</v>
      </c>
    </row>
    <row r="40" spans="1:14" x14ac:dyDescent="0.3">
      <c r="A40" s="30">
        <v>36</v>
      </c>
      <c r="B40" s="57">
        <f t="shared" si="4"/>
        <v>1991</v>
      </c>
      <c r="C40" s="46">
        <f t="shared" si="5"/>
        <v>70117.124862111639</v>
      </c>
      <c r="D40" s="40"/>
      <c r="E40" s="47">
        <f t="shared" si="0"/>
        <v>71855.328387443384</v>
      </c>
      <c r="F40" s="42">
        <f t="shared" si="1"/>
        <v>35927.664193721692</v>
      </c>
      <c r="G40" s="42">
        <f t="shared" si="2"/>
        <v>8245.3989324591275</v>
      </c>
      <c r="H40" s="40">
        <f t="shared" si="3"/>
        <v>116028.3915136242</v>
      </c>
      <c r="J40" s="31">
        <v>36</v>
      </c>
      <c r="K40" s="44">
        <f t="shared" si="6"/>
        <v>2.4789999999999934E-2</v>
      </c>
      <c r="M40" s="31">
        <v>36</v>
      </c>
      <c r="N40" s="44">
        <f t="shared" si="7"/>
        <v>4.874999999999987E-3</v>
      </c>
    </row>
    <row r="41" spans="1:14" x14ac:dyDescent="0.3">
      <c r="A41" s="30">
        <v>37</v>
      </c>
      <c r="B41" s="30">
        <f t="shared" si="4"/>
        <v>1990</v>
      </c>
      <c r="C41" s="46">
        <f t="shared" si="5"/>
        <v>70432.651923991143</v>
      </c>
      <c r="D41" s="40"/>
      <c r="E41" s="47">
        <f t="shared" si="0"/>
        <v>72147.158753450887</v>
      </c>
      <c r="F41" s="42">
        <f t="shared" si="1"/>
        <v>36073.579376725444</v>
      </c>
      <c r="G41" s="42">
        <f t="shared" si="2"/>
        <v>8278.8864669584891</v>
      </c>
      <c r="H41" s="40">
        <f t="shared" si="3"/>
        <v>116499.62459713481</v>
      </c>
      <c r="J41" s="31">
        <v>37</v>
      </c>
      <c r="K41" s="44">
        <f t="shared" si="6"/>
        <v>2.4342499999999934E-2</v>
      </c>
      <c r="M41" s="31">
        <v>37</v>
      </c>
      <c r="N41" s="44">
        <f t="shared" si="7"/>
        <v>4.4999999999999866E-3</v>
      </c>
    </row>
    <row r="42" spans="1:14" x14ac:dyDescent="0.3">
      <c r="A42" s="30">
        <v>38</v>
      </c>
      <c r="B42" s="30">
        <f t="shared" si="4"/>
        <v>1989</v>
      </c>
      <c r="C42" s="46">
        <f t="shared" si="5"/>
        <v>70723.186613177604</v>
      </c>
      <c r="D42" s="40"/>
      <c r="E42" s="47">
        <f t="shared" si="0"/>
        <v>72413.117157299479</v>
      </c>
      <c r="F42" s="42">
        <f t="shared" si="1"/>
        <v>36206.55857864974</v>
      </c>
      <c r="G42" s="42">
        <f t="shared" si="2"/>
        <v>8309.4051938001157</v>
      </c>
      <c r="H42" s="40">
        <f t="shared" si="3"/>
        <v>116929.08092974934</v>
      </c>
      <c r="J42" s="31">
        <v>38</v>
      </c>
      <c r="K42" s="44">
        <f t="shared" si="6"/>
        <v>2.3894999999999934E-2</v>
      </c>
      <c r="M42" s="31">
        <v>38</v>
      </c>
      <c r="N42" s="44">
        <f t="shared" si="7"/>
        <v>4.1249999999999863E-3</v>
      </c>
    </row>
    <row r="43" spans="1:14" x14ac:dyDescent="0.3">
      <c r="A43" s="30">
        <v>39</v>
      </c>
      <c r="B43" s="30">
        <f t="shared" si="4"/>
        <v>1988</v>
      </c>
      <c r="C43" s="46">
        <f t="shared" si="5"/>
        <v>70988.398562977018</v>
      </c>
      <c r="D43" s="40"/>
      <c r="E43" s="47">
        <f t="shared" si="0"/>
        <v>72652.899038282412</v>
      </c>
      <c r="F43" s="42">
        <f t="shared" si="1"/>
        <v>36326.449519141206</v>
      </c>
      <c r="G43" s="42">
        <f t="shared" si="2"/>
        <v>8336.9201646429065</v>
      </c>
      <c r="H43" s="40">
        <f t="shared" si="3"/>
        <v>117316.26872206654</v>
      </c>
      <c r="J43" s="31">
        <v>39</v>
      </c>
      <c r="K43" s="44">
        <f t="shared" si="6"/>
        <v>2.3447499999999934E-2</v>
      </c>
      <c r="M43" s="31">
        <v>39</v>
      </c>
      <c r="N43" s="44">
        <f t="shared" si="7"/>
        <v>3.7499999999999864E-3</v>
      </c>
    </row>
    <row r="44" spans="1:14" s="59" customFormat="1" x14ac:dyDescent="0.3">
      <c r="A44" s="49">
        <v>40</v>
      </c>
      <c r="B44" s="49">
        <f t="shared" si="4"/>
        <v>1987</v>
      </c>
      <c r="C44" s="50">
        <f t="shared" si="5"/>
        <v>71227.984408127071</v>
      </c>
      <c r="D44" s="51"/>
      <c r="E44" s="58">
        <f t="shared" si="0"/>
        <v>72866.228049513986</v>
      </c>
      <c r="F44" s="53">
        <f t="shared" si="1"/>
        <v>36433.114024756993</v>
      </c>
      <c r="G44" s="53">
        <f t="shared" si="2"/>
        <v>8361.39966868173</v>
      </c>
      <c r="H44" s="51">
        <f t="shared" si="3"/>
        <v>117660.7417429527</v>
      </c>
      <c r="J44" s="59">
        <v>40</v>
      </c>
      <c r="K44" s="60">
        <f t="shared" si="6"/>
        <v>2.2999999999999934E-2</v>
      </c>
      <c r="M44" s="59">
        <v>40</v>
      </c>
      <c r="N44" s="60">
        <f t="shared" si="7"/>
        <v>3.3749999999999865E-3</v>
      </c>
    </row>
    <row r="45" spans="1:14" x14ac:dyDescent="0.3">
      <c r="N45" s="44"/>
    </row>
  </sheetData>
  <mergeCells count="2">
    <mergeCell ref="B2:C2"/>
    <mergeCell ref="K2:P2"/>
  </mergeCells>
  <pageMargins left="0.7" right="0.7" top="0.75" bottom="0.75" header="0.3" footer="0.3"/>
  <pageSetup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ED223-A168-456F-A2A8-FCC6C823A8BF}">
  <dimension ref="A1:H46"/>
  <sheetViews>
    <sheetView topLeftCell="A13" workbookViewId="0">
      <selection activeCell="C1" sqref="C1:E1"/>
    </sheetView>
  </sheetViews>
  <sheetFormatPr defaultRowHeight="14.5" x14ac:dyDescent="0.35"/>
  <cols>
    <col min="1" max="1" width="5.6328125" style="85" customWidth="1"/>
    <col min="2" max="2" width="9.6328125" style="86" bestFit="1" customWidth="1"/>
    <col min="3" max="3" width="12.08984375" style="96" customWidth="1"/>
    <col min="4" max="4" width="2.90625" style="112" customWidth="1"/>
    <col min="5" max="5" width="12.26953125" style="90" customWidth="1"/>
    <col min="7" max="8" width="12.7265625" style="85" customWidth="1"/>
  </cols>
  <sheetData>
    <row r="1" spans="1:8" x14ac:dyDescent="0.35">
      <c r="A1" s="75"/>
      <c r="B1" s="76">
        <v>0.05</v>
      </c>
      <c r="C1" s="157" t="s">
        <v>48</v>
      </c>
      <c r="D1" s="157"/>
      <c r="E1" s="157"/>
      <c r="G1" s="75"/>
      <c r="H1" s="75"/>
    </row>
    <row r="2" spans="1:8" x14ac:dyDescent="0.35">
      <c r="A2" s="75"/>
      <c r="B2" s="77"/>
      <c r="C2" s="78"/>
      <c r="D2" s="75"/>
      <c r="E2" s="75"/>
      <c r="G2" s="75"/>
      <c r="H2" s="75"/>
    </row>
    <row r="3" spans="1:8" ht="42" x14ac:dyDescent="0.35">
      <c r="A3" s="80"/>
      <c r="B3" s="79" t="s">
        <v>34</v>
      </c>
      <c r="C3" s="81" t="s">
        <v>49</v>
      </c>
      <c r="D3" s="82"/>
      <c r="E3" s="83" t="s">
        <v>50</v>
      </c>
      <c r="G3" s="113" t="s">
        <v>43</v>
      </c>
      <c r="H3" s="114" t="s">
        <v>41</v>
      </c>
    </row>
    <row r="4" spans="1:8" ht="15.5" x14ac:dyDescent="0.35">
      <c r="A4" s="84"/>
      <c r="B4" s="86">
        <v>2026</v>
      </c>
      <c r="C4" s="87">
        <v>45437</v>
      </c>
      <c r="D4" s="88"/>
      <c r="E4" s="89">
        <f t="shared" ref="E4:E44" si="0">C4*(1+$H5)</f>
        <v>47295.373299999999</v>
      </c>
      <c r="H4" s="115"/>
    </row>
    <row r="5" spans="1:8" ht="15.5" x14ac:dyDescent="0.35">
      <c r="A5" s="91"/>
      <c r="B5" s="86">
        <f>B4-1</f>
        <v>2025</v>
      </c>
      <c r="C5" s="92">
        <f t="shared" ref="C5:C44" si="1">C4*(1+$G6)</f>
        <v>46254.866000000002</v>
      </c>
      <c r="D5" s="93"/>
      <c r="E5" s="94">
        <f t="shared" si="0"/>
        <v>48125.990966865</v>
      </c>
      <c r="G5" s="116">
        <v>0</v>
      </c>
      <c r="H5" s="115">
        <v>4.0899999999999999E-2</v>
      </c>
    </row>
    <row r="6" spans="1:8" ht="15.5" x14ac:dyDescent="0.35">
      <c r="B6" s="86">
        <f t="shared" ref="B6:B44" si="2">B5-1</f>
        <v>2024</v>
      </c>
      <c r="C6" s="96">
        <f t="shared" si="1"/>
        <v>47070.108013249999</v>
      </c>
      <c r="D6" s="88"/>
      <c r="E6" s="90">
        <f t="shared" si="0"/>
        <v>48953.147684320065</v>
      </c>
      <c r="G6" s="116">
        <v>1.7999999999999999E-2</v>
      </c>
      <c r="H6" s="115">
        <v>4.0452500000000002E-2</v>
      </c>
    </row>
    <row r="7" spans="1:8" ht="15.5" x14ac:dyDescent="0.35">
      <c r="B7" s="86">
        <f t="shared" si="2"/>
        <v>2023</v>
      </c>
      <c r="C7" s="96">
        <f t="shared" si="1"/>
        <v>47882.067376478561</v>
      </c>
      <c r="D7" s="88"/>
      <c r="E7" s="90">
        <f t="shared" si="0"/>
        <v>49776.162256723605</v>
      </c>
      <c r="G7" s="116">
        <v>1.7624999999999998E-2</v>
      </c>
      <c r="H7" s="115">
        <v>4.0004999999999999E-2</v>
      </c>
    </row>
    <row r="8" spans="1:8" ht="15.5" x14ac:dyDescent="0.35">
      <c r="B8" s="86">
        <f t="shared" si="2"/>
        <v>2022</v>
      </c>
      <c r="C8" s="96">
        <f t="shared" si="1"/>
        <v>48690.077263456638</v>
      </c>
      <c r="D8" s="88"/>
      <c r="E8" s="90">
        <f t="shared" si="0"/>
        <v>50594.346185230424</v>
      </c>
      <c r="G8" s="116">
        <v>1.7249999999999998E-2</v>
      </c>
      <c r="H8" s="115">
        <v>3.9557499999999995E-2</v>
      </c>
    </row>
    <row r="9" spans="1:8" ht="15.5" x14ac:dyDescent="0.35">
      <c r="B9" s="86">
        <f t="shared" si="2"/>
        <v>2021</v>
      </c>
      <c r="C9" s="96">
        <f t="shared" si="1"/>
        <v>49493.463538303673</v>
      </c>
      <c r="D9" s="88"/>
      <c r="E9" s="90">
        <f t="shared" si="0"/>
        <v>51407.00457235334</v>
      </c>
      <c r="G9" s="116">
        <v>1.6874999999999998E-2</v>
      </c>
      <c r="H9" s="115">
        <v>3.9109999999999992E-2</v>
      </c>
    </row>
    <row r="10" spans="1:8" ht="15.5" x14ac:dyDescent="0.35">
      <c r="A10" s="98"/>
      <c r="B10" s="97">
        <f t="shared" si="2"/>
        <v>2020</v>
      </c>
      <c r="C10" s="99">
        <f t="shared" si="1"/>
        <v>50291.545637858821</v>
      </c>
      <c r="D10" s="100"/>
      <c r="E10" s="94">
        <f t="shared" si="0"/>
        <v>52213.437054409587</v>
      </c>
      <c r="G10" s="116">
        <v>1.6499999999999997E-2</v>
      </c>
      <c r="H10" s="115">
        <v>3.8662499999999989E-2</v>
      </c>
    </row>
    <row r="11" spans="1:8" ht="15.5" x14ac:dyDescent="0.35">
      <c r="B11" s="86">
        <f t="shared" si="2"/>
        <v>2019</v>
      </c>
      <c r="C11" s="96">
        <f t="shared" si="1"/>
        <v>51083.637481655096</v>
      </c>
      <c r="D11" s="88"/>
      <c r="E11" s="90">
        <f t="shared" si="0"/>
        <v>53012.938760243502</v>
      </c>
      <c r="G11" s="116">
        <v>1.6124999999999997E-2</v>
      </c>
      <c r="H11" s="115">
        <v>3.8214999999999985E-2</v>
      </c>
    </row>
    <row r="12" spans="1:8" ht="15.5" x14ac:dyDescent="0.35">
      <c r="B12" s="86">
        <f t="shared" si="2"/>
        <v>2018</v>
      </c>
      <c r="C12" s="96">
        <f t="shared" si="1"/>
        <v>51869.048407935537</v>
      </c>
      <c r="D12" s="88"/>
      <c r="E12" s="90">
        <f t="shared" si="0"/>
        <v>53804.80129451969</v>
      </c>
      <c r="G12" s="116">
        <v>1.5749999999999997E-2</v>
      </c>
      <c r="H12" s="115">
        <v>3.7767499999999982E-2</v>
      </c>
    </row>
    <row r="13" spans="1:8" ht="15.5" x14ac:dyDescent="0.35">
      <c r="B13" s="86">
        <f t="shared" si="2"/>
        <v>2017</v>
      </c>
      <c r="C13" s="96">
        <f t="shared" si="1"/>
        <v>52647.084134054567</v>
      </c>
      <c r="D13" s="88"/>
      <c r="E13" s="90">
        <f t="shared" si="0"/>
        <v>54588.313743787483</v>
      </c>
      <c r="G13" s="116">
        <v>1.5374999999999996E-2</v>
      </c>
      <c r="H13" s="115">
        <v>3.7319999999999978E-2</v>
      </c>
    </row>
    <row r="14" spans="1:8" ht="15.5" x14ac:dyDescent="0.35">
      <c r="B14" s="86">
        <f t="shared" si="2"/>
        <v>2016</v>
      </c>
      <c r="C14" s="96">
        <f t="shared" si="1"/>
        <v>53417.04773951511</v>
      </c>
      <c r="D14" s="88"/>
      <c r="E14" s="90">
        <f t="shared" si="0"/>
        <v>55362.763703426943</v>
      </c>
      <c r="G14" s="116">
        <v>1.4999999999999996E-2</v>
      </c>
      <c r="H14" s="115">
        <v>3.6872499999999975E-2</v>
      </c>
    </row>
    <row r="15" spans="1:8" ht="15.5" x14ac:dyDescent="0.35">
      <c r="B15" s="86">
        <f t="shared" si="2"/>
        <v>2015</v>
      </c>
      <c r="C15" s="96">
        <f t="shared" si="1"/>
        <v>54178.240669803206</v>
      </c>
      <c r="D15" s="88"/>
      <c r="E15" s="90">
        <f t="shared" si="0"/>
        <v>56127.438323501054</v>
      </c>
      <c r="G15" s="116">
        <v>1.4624999999999996E-2</v>
      </c>
      <c r="H15" s="115">
        <v>3.6424999999999971E-2</v>
      </c>
    </row>
    <row r="16" spans="1:8" ht="15.5" x14ac:dyDescent="0.35">
      <c r="A16" s="102"/>
      <c r="B16" s="101">
        <f t="shared" si="2"/>
        <v>2014</v>
      </c>
      <c r="C16" s="103">
        <f t="shared" si="1"/>
        <v>54929.963759096732</v>
      </c>
      <c r="D16" s="104"/>
      <c r="E16" s="105">
        <f t="shared" si="0"/>
        <v>56881.625371457441</v>
      </c>
      <c r="G16" s="116">
        <v>1.4249999999999995E-2</v>
      </c>
      <c r="H16" s="115">
        <v>3.5977499999999968E-2</v>
      </c>
    </row>
    <row r="17" spans="1:8" ht="15.5" x14ac:dyDescent="0.35">
      <c r="B17" s="86">
        <f t="shared" si="2"/>
        <v>2013</v>
      </c>
      <c r="C17" s="96">
        <f t="shared" si="1"/>
        <v>55671.518269844542</v>
      </c>
      <c r="D17" s="88"/>
      <c r="E17" s="90">
        <f t="shared" si="0"/>
        <v>57624.614309546356</v>
      </c>
      <c r="G17" s="116">
        <v>1.3874999999999995E-2</v>
      </c>
      <c r="H17" s="115">
        <v>3.5529999999999964E-2</v>
      </c>
    </row>
    <row r="18" spans="1:8" ht="15.5" x14ac:dyDescent="0.35">
      <c r="B18" s="86">
        <f t="shared" si="2"/>
        <v>2012</v>
      </c>
      <c r="C18" s="96">
        <f t="shared" si="1"/>
        <v>56402.206947136256</v>
      </c>
      <c r="D18" s="88"/>
      <c r="E18" s="90">
        <f t="shared" si="0"/>
        <v>58355.697384750318</v>
      </c>
      <c r="G18" s="116">
        <v>1.3499999999999995E-2</v>
      </c>
      <c r="H18" s="115">
        <v>3.5082499999999961E-2</v>
      </c>
    </row>
    <row r="19" spans="1:8" ht="15.5" x14ac:dyDescent="0.35">
      <c r="B19" s="86">
        <f t="shared" si="2"/>
        <v>2011</v>
      </c>
      <c r="C19" s="96">
        <f t="shared" si="1"/>
        <v>57121.335085712242</v>
      </c>
      <c r="D19" s="88"/>
      <c r="E19" s="90">
        <f t="shared" si="0"/>
        <v>59074.170728955032</v>
      </c>
      <c r="G19" s="116">
        <v>1.3124999999999994E-2</v>
      </c>
      <c r="H19" s="115">
        <v>3.4634999999999957E-2</v>
      </c>
    </row>
    <row r="20" spans="1:8" ht="15.5" x14ac:dyDescent="0.35">
      <c r="B20" s="86">
        <f t="shared" si="2"/>
        <v>2010</v>
      </c>
      <c r="C20" s="96">
        <f t="shared" si="1"/>
        <v>57828.211607397934</v>
      </c>
      <c r="D20" s="88"/>
      <c r="E20" s="90">
        <f t="shared" si="0"/>
        <v>59779.335467031531</v>
      </c>
      <c r="G20" s="116">
        <v>1.2749999999999994E-2</v>
      </c>
      <c r="H20" s="115">
        <v>3.4187499999999954E-2</v>
      </c>
    </row>
    <row r="21" spans="1:8" ht="15.5" x14ac:dyDescent="0.35">
      <c r="B21" s="86">
        <f t="shared" si="2"/>
        <v>2009</v>
      </c>
      <c r="C21" s="96">
        <f t="shared" si="1"/>
        <v>58522.150146686712</v>
      </c>
      <c r="D21" s="88"/>
      <c r="E21" s="90">
        <f t="shared" si="0"/>
        <v>60470.498830445278</v>
      </c>
      <c r="G21" s="116">
        <v>1.2374999999999994E-2</v>
      </c>
      <c r="H21" s="115">
        <v>3.3739999999999951E-2</v>
      </c>
    </row>
    <row r="22" spans="1:8" ht="15.5" x14ac:dyDescent="0.35">
      <c r="B22" s="86">
        <f t="shared" si="2"/>
        <v>2008</v>
      </c>
      <c r="C22" s="96">
        <f t="shared" si="1"/>
        <v>59202.470142141945</v>
      </c>
      <c r="D22" s="88"/>
      <c r="E22" s="90">
        <f t="shared" si="0"/>
        <v>61146.975273960597</v>
      </c>
      <c r="G22" s="116">
        <v>1.1999999999999993E-2</v>
      </c>
      <c r="H22" s="115">
        <v>3.3292499999999947E-2</v>
      </c>
    </row>
    <row r="23" spans="1:8" ht="15.5" x14ac:dyDescent="0.35">
      <c r="B23" s="86">
        <f t="shared" si="2"/>
        <v>2007</v>
      </c>
      <c r="C23" s="96">
        <f t="shared" si="1"/>
        <v>59868.497931241043</v>
      </c>
      <c r="D23" s="88"/>
      <c r="E23" s="90">
        <f t="shared" si="0"/>
        <v>61808.087592968419</v>
      </c>
      <c r="G23" s="116">
        <v>1.1624999999999993E-2</v>
      </c>
      <c r="H23" s="115">
        <v>3.2844999999999944E-2</v>
      </c>
    </row>
    <row r="24" spans="1:8" ht="15.5" x14ac:dyDescent="0.35">
      <c r="B24" s="86">
        <f t="shared" si="2"/>
        <v>2006</v>
      </c>
      <c r="C24" s="96">
        <f t="shared" si="1"/>
        <v>60519.567846243284</v>
      </c>
      <c r="D24" s="88"/>
      <c r="E24" s="90">
        <f t="shared" si="0"/>
        <v>62453.168038930751</v>
      </c>
      <c r="G24" s="116">
        <v>1.1249999999999993E-2</v>
      </c>
      <c r="H24" s="115">
        <v>3.239749999999994E-2</v>
      </c>
    </row>
    <row r="25" spans="1:8" ht="15.5" x14ac:dyDescent="0.35">
      <c r="B25" s="86">
        <f t="shared" si="2"/>
        <v>2005</v>
      </c>
      <c r="C25" s="96">
        <f t="shared" si="1"/>
        <v>61155.023308628835</v>
      </c>
      <c r="D25" s="88"/>
      <c r="E25" s="90">
        <f t="shared" si="0"/>
        <v>63081.559430408917</v>
      </c>
      <c r="G25" s="116">
        <v>1.0874999999999992E-2</v>
      </c>
      <c r="H25" s="115">
        <v>3.1949999999999937E-2</v>
      </c>
    </row>
    <row r="26" spans="1:8" ht="15.5" x14ac:dyDescent="0.35">
      <c r="A26" s="107"/>
      <c r="B26" s="106">
        <f t="shared" si="2"/>
        <v>2004</v>
      </c>
      <c r="C26" s="108">
        <f t="shared" si="1"/>
        <v>61774.217919628696</v>
      </c>
      <c r="D26" s="109"/>
      <c r="E26" s="110">
        <f t="shared" si="0"/>
        <v>63692.616257122754</v>
      </c>
      <c r="G26" s="116">
        <v>1.0499999999999992E-2</v>
      </c>
      <c r="H26" s="115">
        <v>3.1502499999999933E-2</v>
      </c>
    </row>
    <row r="27" spans="1:8" ht="15.5" x14ac:dyDescent="0.35">
      <c r="B27" s="86">
        <f t="shared" si="2"/>
        <v>2003</v>
      </c>
      <c r="C27" s="96">
        <f t="shared" si="1"/>
        <v>62376.516544345068</v>
      </c>
      <c r="D27" s="88"/>
      <c r="E27" s="90">
        <f t="shared" si="0"/>
        <v>64285.705774476104</v>
      </c>
      <c r="G27" s="116">
        <v>1.0124999999999992E-2</v>
      </c>
      <c r="H27" s="115">
        <v>3.1054999999999933E-2</v>
      </c>
    </row>
    <row r="28" spans="1:8" ht="15.5" x14ac:dyDescent="0.35">
      <c r="B28" s="86">
        <f t="shared" si="2"/>
        <v>2002</v>
      </c>
      <c r="C28" s="96">
        <f t="shared" si="1"/>
        <v>62961.296386948299</v>
      </c>
      <c r="D28" s="88"/>
      <c r="E28" s="90">
        <f t="shared" si="0"/>
        <v>64860.209085978655</v>
      </c>
      <c r="G28" s="116">
        <v>9.7499999999999913E-3</v>
      </c>
      <c r="H28" s="115">
        <v>3.0607499999999933E-2</v>
      </c>
    </row>
    <row r="29" spans="1:8" ht="15.5" x14ac:dyDescent="0.35">
      <c r="B29" s="86">
        <f t="shared" si="2"/>
        <v>2001</v>
      </c>
      <c r="C29" s="96">
        <f t="shared" si="1"/>
        <v>63527.948054430824</v>
      </c>
      <c r="D29" s="88"/>
      <c r="E29" s="90">
        <f t="shared" si="0"/>
        <v>65415.522210998104</v>
      </c>
      <c r="G29" s="116">
        <v>9.374999999999991E-3</v>
      </c>
      <c r="H29" s="115">
        <v>3.0159999999999933E-2</v>
      </c>
    </row>
    <row r="30" spans="1:8" ht="15.5" x14ac:dyDescent="0.35">
      <c r="B30" s="86">
        <f t="shared" si="2"/>
        <v>2000</v>
      </c>
      <c r="C30" s="96">
        <f t="shared" si="1"/>
        <v>64075.876606400285</v>
      </c>
      <c r="D30" s="88"/>
      <c r="E30" s="90">
        <f t="shared" si="0"/>
        <v>65951.057135286581</v>
      </c>
      <c r="G30" s="116">
        <v>8.9999999999999906E-3</v>
      </c>
      <c r="H30" s="115">
        <v>2.9712499999999933E-2</v>
      </c>
    </row>
    <row r="31" spans="1:8" ht="15.5" x14ac:dyDescent="0.35">
      <c r="B31" s="86">
        <f t="shared" si="2"/>
        <v>1999</v>
      </c>
      <c r="C31" s="96">
        <f t="shared" si="1"/>
        <v>64604.502588403091</v>
      </c>
      <c r="D31" s="88"/>
      <c r="E31" s="90">
        <f t="shared" si="0"/>
        <v>66466.242841744388</v>
      </c>
      <c r="G31" s="116">
        <v>8.6249999999999903E-3</v>
      </c>
      <c r="H31" s="115">
        <v>2.9264999999999933E-2</v>
      </c>
    </row>
    <row r="32" spans="1:8" ht="15.5" x14ac:dyDescent="0.35">
      <c r="B32" s="86">
        <f t="shared" si="2"/>
        <v>1998</v>
      </c>
      <c r="C32" s="96">
        <f t="shared" si="1"/>
        <v>65113.263046286767</v>
      </c>
      <c r="D32" s="88"/>
      <c r="E32" s="90">
        <f t="shared" si="0"/>
        <v>66960.526318909921</v>
      </c>
      <c r="G32" s="116">
        <v>8.24999999999999E-3</v>
      </c>
      <c r="H32" s="115">
        <v>2.8817499999999933E-2</v>
      </c>
    </row>
    <row r="33" spans="2:8" ht="15.5" x14ac:dyDescent="0.35">
      <c r="B33" s="86">
        <f t="shared" si="2"/>
        <v>1997</v>
      </c>
      <c r="C33" s="96">
        <f t="shared" si="1"/>
        <v>65601.612519133923</v>
      </c>
      <c r="D33" s="88"/>
      <c r="E33" s="90">
        <f t="shared" si="0"/>
        <v>67433.373544699425</v>
      </c>
      <c r="G33" s="116">
        <v>7.8749999999999896E-3</v>
      </c>
      <c r="H33" s="115">
        <v>2.8369999999999933E-2</v>
      </c>
    </row>
    <row r="34" spans="2:8" ht="15.5" x14ac:dyDescent="0.35">
      <c r="B34" s="86">
        <f t="shared" si="2"/>
        <v>1996</v>
      </c>
      <c r="C34" s="96">
        <f t="shared" si="1"/>
        <v>66069.024008332752</v>
      </c>
      <c r="D34" s="88"/>
      <c r="E34" s="90">
        <f t="shared" si="0"/>
        <v>67884.270442961686</v>
      </c>
      <c r="G34" s="116">
        <v>7.4999999999999893E-3</v>
      </c>
      <c r="H34" s="115">
        <v>2.7922499999999933E-2</v>
      </c>
    </row>
    <row r="35" spans="2:8" ht="15.5" x14ac:dyDescent="0.35">
      <c r="B35" s="86">
        <f t="shared" si="2"/>
        <v>1995</v>
      </c>
      <c r="C35" s="96">
        <f t="shared" si="1"/>
        <v>66514.989920388995</v>
      </c>
      <c r="D35" s="88"/>
      <c r="E35" s="90">
        <f t="shared" si="0"/>
        <v>68312.72381046231</v>
      </c>
      <c r="G35" s="116">
        <v>7.124999999999989E-3</v>
      </c>
      <c r="H35" s="115">
        <v>2.7474999999999934E-2</v>
      </c>
    </row>
    <row r="36" spans="2:8" ht="15.5" x14ac:dyDescent="0.35">
      <c r="B36" s="97">
        <f t="shared" si="2"/>
        <v>1994</v>
      </c>
      <c r="C36" s="99">
        <f t="shared" si="1"/>
        <v>66939.022981131478</v>
      </c>
      <c r="D36" s="95"/>
      <c r="E36" s="111">
        <f t="shared" si="0"/>
        <v>68718.262211969937</v>
      </c>
      <c r="G36" s="116">
        <v>6.7499999999999886E-3</v>
      </c>
      <c r="H36" s="115">
        <v>2.7027499999999934E-2</v>
      </c>
    </row>
    <row r="37" spans="2:8" ht="15.5" x14ac:dyDescent="0.35">
      <c r="B37" s="86">
        <f t="shared" si="2"/>
        <v>1993</v>
      </c>
      <c r="C37" s="96">
        <f t="shared" si="1"/>
        <v>67340.657119018273</v>
      </c>
      <c r="D37" s="88"/>
      <c r="E37" s="90">
        <f t="shared" si="0"/>
        <v>69100.436841181014</v>
      </c>
      <c r="G37" s="116">
        <v>6.3749999999999883E-3</v>
      </c>
      <c r="H37" s="115">
        <v>2.6579999999999934E-2</v>
      </c>
    </row>
    <row r="38" spans="2:8" ht="15.5" x14ac:dyDescent="0.35">
      <c r="B38" s="86">
        <f t="shared" si="2"/>
        <v>1992</v>
      </c>
      <c r="C38" s="96">
        <f t="shared" si="1"/>
        <v>67719.448315312751</v>
      </c>
      <c r="D38" s="88"/>
      <c r="E38" s="90">
        <f t="shared" si="0"/>
        <v>69458.822345291555</v>
      </c>
      <c r="G38" s="116">
        <v>5.999999999999988E-3</v>
      </c>
      <c r="H38" s="115">
        <v>2.6132499999999934E-2</v>
      </c>
    </row>
    <row r="39" spans="2:8" ht="15.5" x14ac:dyDescent="0.35">
      <c r="B39" s="86">
        <f t="shared" si="2"/>
        <v>1991</v>
      </c>
      <c r="C39" s="96">
        <f t="shared" si="1"/>
        <v>68074.975418968141</v>
      </c>
      <c r="D39" s="88"/>
      <c r="E39" s="90">
        <f t="shared" si="0"/>
        <v>69793.017611104355</v>
      </c>
      <c r="G39" s="116">
        <v>5.6249999999999876E-3</v>
      </c>
      <c r="H39" s="115">
        <v>2.5684999999999934E-2</v>
      </c>
    </row>
    <row r="40" spans="2:8" ht="15.5" x14ac:dyDescent="0.35">
      <c r="B40" s="86">
        <f t="shared" si="2"/>
        <v>1990</v>
      </c>
      <c r="C40" s="96">
        <f t="shared" si="1"/>
        <v>68406.840924135613</v>
      </c>
      <c r="D40" s="88"/>
      <c r="E40" s="90">
        <f t="shared" si="0"/>
        <v>70102.646510644932</v>
      </c>
      <c r="G40" s="116">
        <v>5.2499999999999873E-3</v>
      </c>
      <c r="H40" s="115">
        <v>2.5237499999999934E-2</v>
      </c>
    </row>
    <row r="41" spans="2:8" ht="15.5" x14ac:dyDescent="0.35">
      <c r="B41" s="86">
        <f t="shared" si="2"/>
        <v>1989</v>
      </c>
      <c r="C41" s="96">
        <f t="shared" si="1"/>
        <v>68714.67170829422</v>
      </c>
      <c r="D41" s="88"/>
      <c r="E41" s="90">
        <f t="shared" si="0"/>
        <v>70387.358604353372</v>
      </c>
      <c r="G41" s="116">
        <v>4.874999999999987E-3</v>
      </c>
      <c r="H41" s="115">
        <v>2.4789999999999934E-2</v>
      </c>
    </row>
    <row r="42" spans="2:8" ht="15.5" x14ac:dyDescent="0.35">
      <c r="B42" s="86">
        <f t="shared" si="2"/>
        <v>1988</v>
      </c>
      <c r="C42" s="96">
        <f t="shared" si="1"/>
        <v>68998.119729090933</v>
      </c>
      <c r="D42" s="88"/>
      <c r="E42" s="90">
        <f t="shared" si="0"/>
        <v>70646.829800017556</v>
      </c>
      <c r="G42" s="116">
        <v>4.4999999999999866E-3</v>
      </c>
      <c r="H42" s="115">
        <v>2.4342499999999934E-2</v>
      </c>
    </row>
    <row r="43" spans="2:8" ht="15.5" x14ac:dyDescent="0.35">
      <c r="B43" s="86">
        <f t="shared" si="2"/>
        <v>1987</v>
      </c>
      <c r="C43" s="96">
        <f t="shared" si="1"/>
        <v>69256.86267807502</v>
      </c>
      <c r="D43" s="88"/>
      <c r="E43" s="90">
        <f t="shared" si="0"/>
        <v>70880.762965719172</v>
      </c>
      <c r="G43" s="116">
        <v>4.1249999999999863E-3</v>
      </c>
      <c r="H43" s="115">
        <v>2.3894999999999934E-2</v>
      </c>
    </row>
    <row r="44" spans="2:8" ht="15.5" x14ac:dyDescent="0.35">
      <c r="B44" s="86">
        <f t="shared" si="2"/>
        <v>1986</v>
      </c>
      <c r="C44" s="96">
        <f t="shared" si="1"/>
        <v>69490.604589613518</v>
      </c>
      <c r="D44" s="88"/>
      <c r="E44" s="90">
        <f t="shared" si="0"/>
        <v>71088.888495174629</v>
      </c>
      <c r="G44" s="116">
        <v>3.7499999999999864E-3</v>
      </c>
      <c r="H44" s="115">
        <v>2.3447499999999934E-2</v>
      </c>
    </row>
    <row r="45" spans="2:8" ht="15.5" x14ac:dyDescent="0.35">
      <c r="D45" s="88"/>
      <c r="G45" s="116">
        <v>3.3749999999999865E-3</v>
      </c>
      <c r="H45" s="115">
        <v>2.2999999999999934E-2</v>
      </c>
    </row>
    <row r="46" spans="2:8" x14ac:dyDescent="0.35">
      <c r="D46" s="88"/>
    </row>
  </sheetData>
  <mergeCells count="1">
    <mergeCell ref="C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7E24E-A61F-46C9-8C41-4208C235ACD2}">
  <dimension ref="A2:R45"/>
  <sheetViews>
    <sheetView topLeftCell="A2" zoomScaleNormal="100" workbookViewId="0">
      <selection activeCell="K26" sqref="K26"/>
    </sheetView>
  </sheetViews>
  <sheetFormatPr defaultColWidth="12.1796875" defaultRowHeight="13" x14ac:dyDescent="0.3"/>
  <cols>
    <col min="1" max="1" width="8.81640625" style="30" customWidth="1"/>
    <col min="2" max="2" width="9.1796875" style="30" customWidth="1"/>
    <col min="3" max="3" width="8.54296875" style="61" customWidth="1"/>
    <col min="4" max="4" width="2.90625" style="31" hidden="1" customWidth="1"/>
    <col min="5" max="5" width="11.26953125" style="62" customWidth="1"/>
    <col min="6" max="6" width="9.7265625" style="31" hidden="1" customWidth="1"/>
    <col min="7" max="7" width="10.1796875" style="31" hidden="1" customWidth="1"/>
    <col min="8" max="8" width="13" style="31" hidden="1" customWidth="1"/>
    <col min="9" max="9" width="12.1796875" style="31"/>
    <col min="10" max="10" width="5.54296875" style="31" customWidth="1"/>
    <col min="11" max="11" width="8.7265625" style="31" customWidth="1"/>
    <col min="12" max="12" width="12.453125" style="31" customWidth="1"/>
    <col min="13" max="13" width="5.453125" style="31" customWidth="1"/>
    <col min="14" max="14" width="8.81640625" style="31" customWidth="1"/>
    <col min="15" max="15" width="12.453125" style="31" customWidth="1"/>
    <col min="16" max="16384" width="12.1796875" style="31"/>
  </cols>
  <sheetData>
    <row r="2" spans="1:18" ht="38.5" customHeight="1" x14ac:dyDescent="0.3">
      <c r="B2" s="155" t="s">
        <v>30</v>
      </c>
      <c r="C2" s="155"/>
      <c r="E2" s="32" t="s">
        <v>31</v>
      </c>
      <c r="J2" s="33"/>
      <c r="K2" s="156" t="s">
        <v>32</v>
      </c>
      <c r="L2" s="156"/>
      <c r="M2" s="156"/>
      <c r="N2" s="156"/>
      <c r="O2" s="156"/>
      <c r="P2" s="156"/>
      <c r="Q2" s="33"/>
      <c r="R2" s="33"/>
    </row>
    <row r="3" spans="1:18" s="34" customFormat="1" ht="39" x14ac:dyDescent="0.3">
      <c r="A3" s="34" t="s">
        <v>33</v>
      </c>
      <c r="B3" s="34" t="s">
        <v>34</v>
      </c>
      <c r="C3" s="35" t="s">
        <v>35</v>
      </c>
      <c r="E3" s="36" t="s">
        <v>36</v>
      </c>
      <c r="F3" s="34" t="s">
        <v>37</v>
      </c>
      <c r="G3" s="34" t="s">
        <v>38</v>
      </c>
      <c r="H3" s="34" t="s">
        <v>39</v>
      </c>
      <c r="J3" s="31" t="s">
        <v>40</v>
      </c>
      <c r="K3" s="37" t="s">
        <v>41</v>
      </c>
      <c r="L3" s="31" t="s">
        <v>42</v>
      </c>
      <c r="M3" s="34" t="s">
        <v>40</v>
      </c>
      <c r="N3" s="34" t="s">
        <v>43</v>
      </c>
      <c r="O3" s="34" t="s">
        <v>44</v>
      </c>
    </row>
    <row r="4" spans="1:18" ht="14" x14ac:dyDescent="0.3">
      <c r="A4" s="30" t="s">
        <v>45</v>
      </c>
      <c r="B4" s="38">
        <v>2025</v>
      </c>
      <c r="C4" s="39">
        <v>43273</v>
      </c>
      <c r="D4" s="40"/>
      <c r="E4" s="41">
        <f t="shared" ref="E4:E44" si="0">SUM(C4*K4)+C4</f>
        <v>45042.865700000002</v>
      </c>
      <c r="F4" s="42">
        <f t="shared" ref="F4:F44" si="1">SUM(E4*0.5)</f>
        <v>22521.432850000001</v>
      </c>
      <c r="G4" s="42">
        <f t="shared" ref="G4:G44" si="2">SUM(E4+F4)*0.0765</f>
        <v>5168.6688390750005</v>
      </c>
      <c r="H4" s="43">
        <f t="shared" ref="H4:H44" si="3">SUM(E4+F4+G4)</f>
        <v>72732.967389075013</v>
      </c>
      <c r="J4" s="31">
        <v>0</v>
      </c>
      <c r="K4" s="44">
        <v>4.0899999999999999E-2</v>
      </c>
      <c r="L4" s="45">
        <f>((0.0409-0.023)/40)</f>
        <v>4.4749999999999998E-4</v>
      </c>
      <c r="M4" s="31">
        <v>0</v>
      </c>
      <c r="N4" s="44"/>
      <c r="O4" s="45"/>
    </row>
    <row r="5" spans="1:18" x14ac:dyDescent="0.3">
      <c r="A5" s="30">
        <v>1</v>
      </c>
      <c r="B5" s="30">
        <f t="shared" ref="B5:B44" si="4">B4-1</f>
        <v>2024</v>
      </c>
      <c r="C5" s="46">
        <f t="shared" ref="C5:C44" si="5">SUM(C4*N5)+C4</f>
        <v>44051.913999999997</v>
      </c>
      <c r="D5" s="40"/>
      <c r="E5" s="47">
        <f t="shared" si="0"/>
        <v>45833.924051085</v>
      </c>
      <c r="F5" s="42">
        <f t="shared" si="1"/>
        <v>22916.9620255425</v>
      </c>
      <c r="G5" s="42">
        <f t="shared" si="2"/>
        <v>5259.4427848620035</v>
      </c>
      <c r="H5" s="40">
        <f t="shared" si="3"/>
        <v>74010.328861489514</v>
      </c>
      <c r="J5" s="31">
        <v>1</v>
      </c>
      <c r="K5" s="44">
        <f t="shared" ref="K5:K44" si="6">K4-$L$4</f>
        <v>4.0452500000000002E-2</v>
      </c>
      <c r="L5" s="48"/>
      <c r="M5" s="31">
        <v>1</v>
      </c>
      <c r="N5" s="44">
        <v>1.7999999999999999E-2</v>
      </c>
      <c r="O5" s="45">
        <f>((0.02-0.005)/40)</f>
        <v>3.7500000000000001E-4</v>
      </c>
    </row>
    <row r="6" spans="1:18" x14ac:dyDescent="0.3">
      <c r="A6" s="30">
        <v>2</v>
      </c>
      <c r="B6" s="30">
        <f t="shared" si="4"/>
        <v>2023</v>
      </c>
      <c r="C6" s="46">
        <f t="shared" si="5"/>
        <v>44828.328984249994</v>
      </c>
      <c r="D6" s="40"/>
      <c r="E6" s="47">
        <f t="shared" si="0"/>
        <v>46621.686285264914</v>
      </c>
      <c r="F6" s="42">
        <f t="shared" si="1"/>
        <v>23310.843142632457</v>
      </c>
      <c r="G6" s="42">
        <f t="shared" si="2"/>
        <v>5349.8385012341487</v>
      </c>
      <c r="H6" s="40">
        <f t="shared" si="3"/>
        <v>75282.36792913152</v>
      </c>
      <c r="J6" s="31">
        <v>2</v>
      </c>
      <c r="K6" s="44">
        <f t="shared" si="6"/>
        <v>4.0004999999999999E-2</v>
      </c>
      <c r="M6" s="31">
        <v>2</v>
      </c>
      <c r="N6" s="44">
        <f t="shared" ref="N6:N44" si="7">N5-$O$5</f>
        <v>1.7624999999999998E-2</v>
      </c>
    </row>
    <row r="7" spans="1:18" x14ac:dyDescent="0.3">
      <c r="A7" s="30">
        <v>3</v>
      </c>
      <c r="B7" s="30">
        <f t="shared" si="4"/>
        <v>2022</v>
      </c>
      <c r="C7" s="46">
        <f t="shared" si="5"/>
        <v>45601.617659228308</v>
      </c>
      <c r="D7" s="40"/>
      <c r="E7" s="47">
        <f t="shared" si="0"/>
        <v>47405.503649783233</v>
      </c>
      <c r="F7" s="42">
        <f t="shared" si="1"/>
        <v>23702.751824891617</v>
      </c>
      <c r="G7" s="42">
        <f t="shared" si="2"/>
        <v>5439.7815438126263</v>
      </c>
      <c r="H7" s="40">
        <f t="shared" si="3"/>
        <v>76548.037018487477</v>
      </c>
      <c r="J7" s="31">
        <v>3</v>
      </c>
      <c r="K7" s="44">
        <f t="shared" si="6"/>
        <v>3.9557499999999995E-2</v>
      </c>
      <c r="M7" s="31">
        <v>3</v>
      </c>
      <c r="N7" s="44">
        <f t="shared" si="7"/>
        <v>1.7249999999999998E-2</v>
      </c>
    </row>
    <row r="8" spans="1:18" x14ac:dyDescent="0.3">
      <c r="A8" s="30">
        <v>4</v>
      </c>
      <c r="B8" s="30">
        <f t="shared" si="4"/>
        <v>2021</v>
      </c>
      <c r="C8" s="46">
        <f t="shared" si="5"/>
        <v>46371.144957227785</v>
      </c>
      <c r="D8" s="40"/>
      <c r="E8" s="47">
        <f t="shared" si="0"/>
        <v>48184.720436504962</v>
      </c>
      <c r="F8" s="42">
        <f t="shared" si="1"/>
        <v>24092.360218252481</v>
      </c>
      <c r="G8" s="42">
        <f t="shared" si="2"/>
        <v>5529.1966700889443</v>
      </c>
      <c r="H8" s="40">
        <f t="shared" si="3"/>
        <v>77806.277324846393</v>
      </c>
      <c r="J8" s="31">
        <v>4</v>
      </c>
      <c r="K8" s="44">
        <f t="shared" si="6"/>
        <v>3.9109999999999992E-2</v>
      </c>
      <c r="M8" s="31">
        <v>4</v>
      </c>
      <c r="N8" s="44">
        <f t="shared" si="7"/>
        <v>1.6874999999999998E-2</v>
      </c>
    </row>
    <row r="9" spans="1:18" s="55" customFormat="1" x14ac:dyDescent="0.3">
      <c r="A9" s="49">
        <v>5</v>
      </c>
      <c r="B9" s="49">
        <f t="shared" si="4"/>
        <v>2020</v>
      </c>
      <c r="C9" s="50">
        <f t="shared" si="5"/>
        <v>47136.268849022046</v>
      </c>
      <c r="D9" s="51"/>
      <c r="E9" s="52">
        <f t="shared" si="0"/>
        <v>48958.674843397363</v>
      </c>
      <c r="F9" s="53">
        <f t="shared" si="1"/>
        <v>24479.337421698681</v>
      </c>
      <c r="G9" s="54">
        <f t="shared" si="2"/>
        <v>5618.0079382798467</v>
      </c>
      <c r="H9" s="51">
        <f t="shared" si="3"/>
        <v>79056.020203375883</v>
      </c>
      <c r="J9" s="55">
        <v>5</v>
      </c>
      <c r="K9" s="56">
        <f t="shared" si="6"/>
        <v>3.8662499999999989E-2</v>
      </c>
      <c r="M9" s="55">
        <v>5</v>
      </c>
      <c r="N9" s="56">
        <f t="shared" si="7"/>
        <v>1.6499999999999997E-2</v>
      </c>
      <c r="P9" s="55">
        <f>C9/C4</f>
        <v>1.089276658632913</v>
      </c>
    </row>
    <row r="10" spans="1:18" x14ac:dyDescent="0.3">
      <c r="A10" s="30">
        <v>6</v>
      </c>
      <c r="B10" s="57">
        <f t="shared" si="4"/>
        <v>2019</v>
      </c>
      <c r="C10" s="46">
        <f t="shared" si="5"/>
        <v>47896.341184212528</v>
      </c>
      <c r="D10" s="40"/>
      <c r="E10" s="47">
        <f t="shared" si="0"/>
        <v>49726.699862567206</v>
      </c>
      <c r="F10" s="42">
        <f t="shared" si="1"/>
        <v>24863.349931283603</v>
      </c>
      <c r="G10" s="42">
        <f t="shared" si="2"/>
        <v>5706.1388092295865</v>
      </c>
      <c r="H10" s="40">
        <f t="shared" si="3"/>
        <v>80296.188603080387</v>
      </c>
      <c r="J10" s="31">
        <v>6</v>
      </c>
      <c r="K10" s="44">
        <f t="shared" si="6"/>
        <v>3.8214999999999985E-2</v>
      </c>
      <c r="M10" s="31">
        <v>6</v>
      </c>
      <c r="N10" s="44">
        <f t="shared" si="7"/>
        <v>1.6124999999999997E-2</v>
      </c>
    </row>
    <row r="11" spans="1:18" x14ac:dyDescent="0.3">
      <c r="A11" s="30">
        <v>7</v>
      </c>
      <c r="B11" s="30">
        <f t="shared" si="4"/>
        <v>2018</v>
      </c>
      <c r="C11" s="46">
        <f t="shared" si="5"/>
        <v>48650.708557863873</v>
      </c>
      <c r="D11" s="40"/>
      <c r="E11" s="47">
        <f t="shared" si="0"/>
        <v>50488.124193322998</v>
      </c>
      <c r="F11" s="42">
        <f t="shared" si="1"/>
        <v>25244.062096661499</v>
      </c>
      <c r="G11" s="42">
        <f t="shared" si="2"/>
        <v>5793.5122511838144</v>
      </c>
      <c r="H11" s="40">
        <f t="shared" si="3"/>
        <v>81525.698541168313</v>
      </c>
      <c r="J11" s="31">
        <v>7</v>
      </c>
      <c r="K11" s="44">
        <f t="shared" si="6"/>
        <v>3.7767499999999982E-2</v>
      </c>
      <c r="M11" s="31">
        <v>7</v>
      </c>
      <c r="N11" s="44">
        <f t="shared" si="7"/>
        <v>1.5749999999999997E-2</v>
      </c>
    </row>
    <row r="12" spans="1:18" x14ac:dyDescent="0.3">
      <c r="A12" s="30">
        <v>8</v>
      </c>
      <c r="B12" s="30">
        <f t="shared" si="4"/>
        <v>2017</v>
      </c>
      <c r="C12" s="46">
        <f t="shared" si="5"/>
        <v>49398.713201941027</v>
      </c>
      <c r="D12" s="40"/>
      <c r="E12" s="47">
        <f t="shared" si="0"/>
        <v>51242.273178637464</v>
      </c>
      <c r="F12" s="42">
        <f t="shared" si="1"/>
        <v>25621.136589318732</v>
      </c>
      <c r="G12" s="42">
        <f t="shared" si="2"/>
        <v>5880.050847248649</v>
      </c>
      <c r="H12" s="40">
        <f t="shared" si="3"/>
        <v>82743.460615204851</v>
      </c>
      <c r="J12" s="31">
        <v>8</v>
      </c>
      <c r="K12" s="44">
        <f t="shared" si="6"/>
        <v>3.7319999999999978E-2</v>
      </c>
      <c r="M12" s="31">
        <v>8</v>
      </c>
      <c r="N12" s="44">
        <f t="shared" si="7"/>
        <v>1.5374999999999996E-2</v>
      </c>
    </row>
    <row r="13" spans="1:18" x14ac:dyDescent="0.3">
      <c r="A13" s="30">
        <v>9</v>
      </c>
      <c r="B13" s="30">
        <f t="shared" si="4"/>
        <v>2016</v>
      </c>
      <c r="C13" s="46">
        <f t="shared" si="5"/>
        <v>50139.693899970145</v>
      </c>
      <c r="D13" s="40"/>
      <c r="E13" s="47">
        <f t="shared" si="0"/>
        <v>51988.469763296795</v>
      </c>
      <c r="F13" s="42">
        <f t="shared" si="1"/>
        <v>25994.234881648397</v>
      </c>
      <c r="G13" s="42">
        <f t="shared" si="2"/>
        <v>5965.6769053383068</v>
      </c>
      <c r="H13" s="40">
        <f t="shared" si="3"/>
        <v>83948.381550283491</v>
      </c>
      <c r="J13" s="31">
        <v>9</v>
      </c>
      <c r="K13" s="44">
        <f t="shared" si="6"/>
        <v>3.6872499999999975E-2</v>
      </c>
      <c r="M13" s="31">
        <v>9</v>
      </c>
      <c r="N13" s="44">
        <f t="shared" si="7"/>
        <v>1.4999999999999996E-2</v>
      </c>
    </row>
    <row r="14" spans="1:18" s="59" customFormat="1" x14ac:dyDescent="0.3">
      <c r="A14" s="49">
        <v>10</v>
      </c>
      <c r="B14" s="49">
        <f t="shared" si="4"/>
        <v>2015</v>
      </c>
      <c r="C14" s="50">
        <f t="shared" si="5"/>
        <v>50872.986923257209</v>
      </c>
      <c r="D14" s="51"/>
      <c r="E14" s="58">
        <f t="shared" si="0"/>
        <v>52726.035471936848</v>
      </c>
      <c r="F14" s="53">
        <f t="shared" si="1"/>
        <v>26363.017735968424</v>
      </c>
      <c r="G14" s="53">
        <f t="shared" si="2"/>
        <v>6050.3125704047525</v>
      </c>
      <c r="H14" s="51">
        <f t="shared" si="3"/>
        <v>85139.365778310021</v>
      </c>
      <c r="J14" s="59">
        <v>10</v>
      </c>
      <c r="K14" s="60">
        <f t="shared" si="6"/>
        <v>3.6424999999999971E-2</v>
      </c>
      <c r="M14" s="59">
        <v>10</v>
      </c>
      <c r="N14" s="60">
        <f t="shared" si="7"/>
        <v>1.4624999999999996E-2</v>
      </c>
    </row>
    <row r="15" spans="1:18" x14ac:dyDescent="0.3">
      <c r="A15" s="30">
        <v>11</v>
      </c>
      <c r="B15" s="57">
        <f t="shared" si="4"/>
        <v>2014</v>
      </c>
      <c r="C15" s="46">
        <f t="shared" si="5"/>
        <v>51597.926986913626</v>
      </c>
      <c r="D15" s="40"/>
      <c r="E15" s="47">
        <f t="shared" si="0"/>
        <v>53454.291405085307</v>
      </c>
      <c r="F15" s="42">
        <f t="shared" si="1"/>
        <v>26727.145702542653</v>
      </c>
      <c r="G15" s="42">
        <f t="shared" si="2"/>
        <v>6133.8799387335393</v>
      </c>
      <c r="H15" s="40">
        <f t="shared" si="3"/>
        <v>86315.31704636151</v>
      </c>
      <c r="J15" s="31">
        <v>11</v>
      </c>
      <c r="K15" s="44">
        <f t="shared" si="6"/>
        <v>3.5977499999999968E-2</v>
      </c>
      <c r="M15" s="31">
        <v>11</v>
      </c>
      <c r="N15" s="44">
        <f t="shared" si="7"/>
        <v>1.4249999999999995E-2</v>
      </c>
    </row>
    <row r="16" spans="1:18" x14ac:dyDescent="0.3">
      <c r="A16" s="30">
        <v>12</v>
      </c>
      <c r="B16" s="30">
        <f t="shared" si="4"/>
        <v>2013</v>
      </c>
      <c r="C16" s="46">
        <f t="shared" si="5"/>
        <v>52313.84822385705</v>
      </c>
      <c r="D16" s="40"/>
      <c r="E16" s="47">
        <f t="shared" si="0"/>
        <v>54172.559251250692</v>
      </c>
      <c r="F16" s="42">
        <f t="shared" si="1"/>
        <v>27086.279625625346</v>
      </c>
      <c r="G16" s="42">
        <f t="shared" si="2"/>
        <v>6216.3011740810161</v>
      </c>
      <c r="H16" s="40">
        <f t="shared" si="3"/>
        <v>87475.140050957052</v>
      </c>
      <c r="J16" s="31">
        <v>12</v>
      </c>
      <c r="K16" s="44">
        <f t="shared" si="6"/>
        <v>3.5529999999999964E-2</v>
      </c>
      <c r="M16" s="31">
        <v>12</v>
      </c>
      <c r="N16" s="44">
        <f t="shared" si="7"/>
        <v>1.3874999999999995E-2</v>
      </c>
    </row>
    <row r="17" spans="1:14" x14ac:dyDescent="0.3">
      <c r="A17" s="30">
        <v>13</v>
      </c>
      <c r="B17" s="30">
        <f t="shared" si="4"/>
        <v>2012</v>
      </c>
      <c r="C17" s="46">
        <f t="shared" si="5"/>
        <v>53020.085174879117</v>
      </c>
      <c r="D17" s="40"/>
      <c r="E17" s="47">
        <f t="shared" si="0"/>
        <v>54880.162313026813</v>
      </c>
      <c r="F17" s="42">
        <f t="shared" si="1"/>
        <v>27440.081156513406</v>
      </c>
      <c r="G17" s="42">
        <f t="shared" si="2"/>
        <v>6297.4986254198266</v>
      </c>
      <c r="H17" s="40">
        <f t="shared" si="3"/>
        <v>88617.742094960049</v>
      </c>
      <c r="J17" s="31">
        <v>13</v>
      </c>
      <c r="K17" s="44">
        <f t="shared" si="6"/>
        <v>3.5082499999999961E-2</v>
      </c>
      <c r="M17" s="31">
        <v>13</v>
      </c>
      <c r="N17" s="44">
        <f t="shared" si="7"/>
        <v>1.3499999999999995E-2</v>
      </c>
    </row>
    <row r="18" spans="1:14" x14ac:dyDescent="0.3">
      <c r="A18" s="30">
        <v>14</v>
      </c>
      <c r="B18" s="30">
        <f t="shared" si="4"/>
        <v>2011</v>
      </c>
      <c r="C18" s="46">
        <f t="shared" si="5"/>
        <v>53715.973792799407</v>
      </c>
      <c r="D18" s="40"/>
      <c r="E18" s="47">
        <f t="shared" si="0"/>
        <v>55576.426545113012</v>
      </c>
      <c r="F18" s="42">
        <f t="shared" si="1"/>
        <v>27788.213272556506</v>
      </c>
      <c r="G18" s="42">
        <f t="shared" si="2"/>
        <v>6377.3949460517188</v>
      </c>
      <c r="H18" s="40">
        <f t="shared" si="3"/>
        <v>89742.03476372124</v>
      </c>
      <c r="J18" s="31">
        <v>14</v>
      </c>
      <c r="K18" s="44">
        <f t="shared" si="6"/>
        <v>3.4634999999999957E-2</v>
      </c>
      <c r="M18" s="31">
        <v>14</v>
      </c>
      <c r="N18" s="44">
        <f t="shared" si="7"/>
        <v>1.3124999999999994E-2</v>
      </c>
    </row>
    <row r="19" spans="1:14" s="59" customFormat="1" x14ac:dyDescent="0.3">
      <c r="A19" s="49">
        <v>15</v>
      </c>
      <c r="B19" s="49">
        <f t="shared" si="4"/>
        <v>2010</v>
      </c>
      <c r="C19" s="50">
        <f t="shared" si="5"/>
        <v>54400.852458657595</v>
      </c>
      <c r="D19" s="51"/>
      <c r="E19" s="58">
        <f t="shared" si="0"/>
        <v>56260.681602087949</v>
      </c>
      <c r="F19" s="53">
        <f t="shared" si="1"/>
        <v>28130.340801043974</v>
      </c>
      <c r="G19" s="53">
        <f t="shared" si="2"/>
        <v>6455.9132138395917</v>
      </c>
      <c r="H19" s="51">
        <f t="shared" si="3"/>
        <v>90846.935616971517</v>
      </c>
      <c r="J19" s="59">
        <v>15</v>
      </c>
      <c r="K19" s="60">
        <f t="shared" si="6"/>
        <v>3.4187499999999954E-2</v>
      </c>
      <c r="M19" s="59">
        <v>15</v>
      </c>
      <c r="N19" s="60">
        <f t="shared" si="7"/>
        <v>1.2749999999999994E-2</v>
      </c>
    </row>
    <row r="20" spans="1:14" x14ac:dyDescent="0.3">
      <c r="A20" s="30">
        <v>16</v>
      </c>
      <c r="B20" s="57">
        <f t="shared" si="4"/>
        <v>2009</v>
      </c>
      <c r="C20" s="46">
        <f t="shared" si="5"/>
        <v>55074.06300783348</v>
      </c>
      <c r="D20" s="40"/>
      <c r="E20" s="47">
        <f t="shared" si="0"/>
        <v>56932.261893717776</v>
      </c>
      <c r="F20" s="42">
        <f t="shared" si="1"/>
        <v>28466.130946858888</v>
      </c>
      <c r="G20" s="42">
        <f t="shared" si="2"/>
        <v>6532.9770523041143</v>
      </c>
      <c r="H20" s="40">
        <f t="shared" si="3"/>
        <v>91931.369892880772</v>
      </c>
      <c r="J20" s="31">
        <v>16</v>
      </c>
      <c r="K20" s="44">
        <f t="shared" si="6"/>
        <v>3.3739999999999951E-2</v>
      </c>
      <c r="M20" s="31">
        <v>16</v>
      </c>
      <c r="N20" s="44">
        <f t="shared" si="7"/>
        <v>1.2374999999999994E-2</v>
      </c>
    </row>
    <row r="21" spans="1:14" x14ac:dyDescent="0.3">
      <c r="A21" s="30">
        <v>17</v>
      </c>
      <c r="B21" s="30">
        <f t="shared" si="4"/>
        <v>2008</v>
      </c>
      <c r="C21" s="46">
        <f t="shared" si="5"/>
        <v>55734.951763927478</v>
      </c>
      <c r="D21" s="40"/>
      <c r="E21" s="47">
        <f t="shared" si="0"/>
        <v>57590.507645528029</v>
      </c>
      <c r="F21" s="42">
        <f t="shared" si="1"/>
        <v>28795.253822764014</v>
      </c>
      <c r="G21" s="42">
        <f t="shared" si="2"/>
        <v>6608.5107523243405</v>
      </c>
      <c r="H21" s="40">
        <f t="shared" si="3"/>
        <v>92994.272220616374</v>
      </c>
      <c r="J21" s="31">
        <v>17</v>
      </c>
      <c r="K21" s="44">
        <f t="shared" si="6"/>
        <v>3.3292499999999947E-2</v>
      </c>
      <c r="M21" s="31">
        <v>17</v>
      </c>
      <c r="N21" s="44">
        <f t="shared" si="7"/>
        <v>1.1999999999999993E-2</v>
      </c>
    </row>
    <row r="22" spans="1:14" x14ac:dyDescent="0.3">
      <c r="A22" s="30">
        <v>18</v>
      </c>
      <c r="B22" s="30">
        <f t="shared" si="4"/>
        <v>2007</v>
      </c>
      <c r="C22" s="46">
        <f t="shared" si="5"/>
        <v>56382.870578183138</v>
      </c>
      <c r="D22" s="40"/>
      <c r="E22" s="47">
        <f t="shared" si="0"/>
        <v>58234.76596232356</v>
      </c>
      <c r="F22" s="42">
        <f t="shared" si="1"/>
        <v>29117.38298116178</v>
      </c>
      <c r="G22" s="42">
        <f t="shared" si="2"/>
        <v>6682.4393941766284</v>
      </c>
      <c r="H22" s="40">
        <f t="shared" si="3"/>
        <v>94034.588337661975</v>
      </c>
      <c r="J22" s="31">
        <v>18</v>
      </c>
      <c r="K22" s="44">
        <f t="shared" si="6"/>
        <v>3.2844999999999944E-2</v>
      </c>
      <c r="M22" s="31">
        <v>18</v>
      </c>
      <c r="N22" s="44">
        <f t="shared" si="7"/>
        <v>1.1624999999999993E-2</v>
      </c>
    </row>
    <row r="23" spans="1:14" x14ac:dyDescent="0.3">
      <c r="A23" s="30">
        <v>19</v>
      </c>
      <c r="B23" s="30">
        <f t="shared" si="4"/>
        <v>2006</v>
      </c>
      <c r="C23" s="46">
        <f t="shared" si="5"/>
        <v>57017.177872187698</v>
      </c>
      <c r="D23" s="40"/>
      <c r="E23" s="47">
        <f t="shared" si="0"/>
        <v>58864.391892301894</v>
      </c>
      <c r="F23" s="42">
        <f t="shared" si="1"/>
        <v>29432.195946150947</v>
      </c>
      <c r="G23" s="42">
        <f t="shared" si="2"/>
        <v>6754.688969641642</v>
      </c>
      <c r="H23" s="40">
        <f t="shared" si="3"/>
        <v>95051.276808094481</v>
      </c>
      <c r="J23" s="31">
        <v>19</v>
      </c>
      <c r="K23" s="44">
        <f t="shared" si="6"/>
        <v>3.239749999999994E-2</v>
      </c>
      <c r="M23" s="31">
        <v>19</v>
      </c>
      <c r="N23" s="44">
        <f t="shared" si="7"/>
        <v>1.1249999999999993E-2</v>
      </c>
    </row>
    <row r="24" spans="1:14" s="59" customFormat="1" x14ac:dyDescent="0.3">
      <c r="A24" s="49">
        <v>20</v>
      </c>
      <c r="B24" s="49">
        <f t="shared" si="4"/>
        <v>2005</v>
      </c>
      <c r="C24" s="50">
        <f t="shared" si="5"/>
        <v>57637.23968154774</v>
      </c>
      <c r="D24" s="51"/>
      <c r="E24" s="58">
        <f t="shared" si="0"/>
        <v>59478.749489373185</v>
      </c>
      <c r="F24" s="53">
        <f t="shared" si="1"/>
        <v>29739.374744686593</v>
      </c>
      <c r="G24" s="53">
        <f t="shared" si="2"/>
        <v>6825.1865039055729</v>
      </c>
      <c r="H24" s="51">
        <f t="shared" si="3"/>
        <v>96043.310737965352</v>
      </c>
      <c r="J24" s="59">
        <v>20</v>
      </c>
      <c r="K24" s="60">
        <f t="shared" si="6"/>
        <v>3.1949999999999937E-2</v>
      </c>
      <c r="M24" s="59">
        <v>20</v>
      </c>
      <c r="N24" s="60">
        <f t="shared" si="7"/>
        <v>1.0874999999999992E-2</v>
      </c>
    </row>
    <row r="25" spans="1:14" x14ac:dyDescent="0.3">
      <c r="A25" s="30">
        <v>21</v>
      </c>
      <c r="B25" s="57">
        <f t="shared" si="4"/>
        <v>2004</v>
      </c>
      <c r="C25" s="46">
        <f t="shared" si="5"/>
        <v>58242.430698203993</v>
      </c>
      <c r="D25" s="40"/>
      <c r="E25" s="47">
        <f t="shared" si="0"/>
        <v>60077.212871274161</v>
      </c>
      <c r="F25" s="42">
        <f t="shared" si="1"/>
        <v>30038.606435637081</v>
      </c>
      <c r="G25" s="42">
        <f t="shared" si="2"/>
        <v>6893.8601769787101</v>
      </c>
      <c r="H25" s="40">
        <f t="shared" si="3"/>
        <v>97009.679483889951</v>
      </c>
      <c r="J25" s="31">
        <v>21</v>
      </c>
      <c r="K25" s="44">
        <f t="shared" si="6"/>
        <v>3.1502499999999933E-2</v>
      </c>
      <c r="M25" s="31">
        <v>21</v>
      </c>
      <c r="N25" s="44">
        <f t="shared" si="7"/>
        <v>1.0499999999999992E-2</v>
      </c>
    </row>
    <row r="26" spans="1:14" x14ac:dyDescent="0.3">
      <c r="A26" s="30">
        <v>22</v>
      </c>
      <c r="B26" s="30">
        <f t="shared" si="4"/>
        <v>2003</v>
      </c>
      <c r="C26" s="46">
        <f t="shared" si="5"/>
        <v>58832.13530902331</v>
      </c>
      <c r="D26" s="40"/>
      <c r="E26" s="47">
        <f t="shared" si="0"/>
        <v>60659.167271045022</v>
      </c>
      <c r="F26" s="42">
        <f t="shared" si="1"/>
        <v>30329.583635522511</v>
      </c>
      <c r="G26" s="42">
        <f t="shared" si="2"/>
        <v>6960.6394443524159</v>
      </c>
      <c r="H26" s="40">
        <f t="shared" si="3"/>
        <v>97949.390350919944</v>
      </c>
      <c r="J26" s="31">
        <v>22</v>
      </c>
      <c r="K26" s="44">
        <f t="shared" si="6"/>
        <v>3.1054999999999933E-2</v>
      </c>
      <c r="M26" s="31">
        <v>22</v>
      </c>
      <c r="N26" s="44">
        <f t="shared" si="7"/>
        <v>1.0124999999999992E-2</v>
      </c>
    </row>
    <row r="27" spans="1:14" x14ac:dyDescent="0.3">
      <c r="A27" s="30">
        <v>23</v>
      </c>
      <c r="B27" s="30">
        <f t="shared" si="4"/>
        <v>2002</v>
      </c>
      <c r="C27" s="46">
        <f t="shared" si="5"/>
        <v>59405.748628286288</v>
      </c>
      <c r="D27" s="40"/>
      <c r="E27" s="47">
        <f t="shared" si="0"/>
        <v>61224.01007942656</v>
      </c>
      <c r="F27" s="42">
        <f t="shared" si="1"/>
        <v>30612.00503971328</v>
      </c>
      <c r="G27" s="42">
        <f t="shared" si="2"/>
        <v>7025.4551566141972</v>
      </c>
      <c r="H27" s="40">
        <f t="shared" si="3"/>
        <v>98861.470275754036</v>
      </c>
      <c r="J27" s="31">
        <v>23</v>
      </c>
      <c r="K27" s="44">
        <f t="shared" si="6"/>
        <v>3.0607499999999933E-2</v>
      </c>
      <c r="M27" s="31">
        <v>23</v>
      </c>
      <c r="N27" s="44">
        <f t="shared" si="7"/>
        <v>9.7499999999999913E-3</v>
      </c>
    </row>
    <row r="28" spans="1:14" x14ac:dyDescent="0.3">
      <c r="A28" s="30">
        <v>24</v>
      </c>
      <c r="B28" s="30">
        <f t="shared" si="4"/>
        <v>2001</v>
      </c>
      <c r="C28" s="46">
        <f t="shared" si="5"/>
        <v>59962.677521676473</v>
      </c>
      <c r="D28" s="40"/>
      <c r="E28" s="47">
        <f t="shared" si="0"/>
        <v>61771.151875730233</v>
      </c>
      <c r="F28" s="42">
        <f t="shared" si="1"/>
        <v>30885.575937865116</v>
      </c>
      <c r="G28" s="42">
        <f t="shared" si="2"/>
        <v>7088.2396777400445</v>
      </c>
      <c r="H28" s="40">
        <f t="shared" si="3"/>
        <v>99744.967491335396</v>
      </c>
      <c r="J28" s="31">
        <v>24</v>
      </c>
      <c r="K28" s="44">
        <f t="shared" si="6"/>
        <v>3.0159999999999933E-2</v>
      </c>
      <c r="M28" s="31">
        <v>24</v>
      </c>
      <c r="N28" s="44">
        <f t="shared" si="7"/>
        <v>9.374999999999991E-3</v>
      </c>
    </row>
    <row r="29" spans="1:14" s="59" customFormat="1" x14ac:dyDescent="0.3">
      <c r="A29" s="49">
        <v>25</v>
      </c>
      <c r="B29" s="49">
        <f t="shared" si="4"/>
        <v>2000</v>
      </c>
      <c r="C29" s="50">
        <f t="shared" si="5"/>
        <v>60502.34161937156</v>
      </c>
      <c r="D29" s="51"/>
      <c r="E29" s="58">
        <f t="shared" si="0"/>
        <v>62300.017444737132</v>
      </c>
      <c r="F29" s="53">
        <f t="shared" si="1"/>
        <v>31150.008722368566</v>
      </c>
      <c r="G29" s="53">
        <f t="shared" si="2"/>
        <v>7148.9270017835852</v>
      </c>
      <c r="H29" s="51">
        <f t="shared" si="3"/>
        <v>100598.95316888927</v>
      </c>
      <c r="J29" s="59">
        <v>25</v>
      </c>
      <c r="K29" s="60">
        <f t="shared" si="6"/>
        <v>2.9712499999999933E-2</v>
      </c>
      <c r="M29" s="59">
        <v>25</v>
      </c>
      <c r="N29" s="60">
        <f t="shared" si="7"/>
        <v>8.9999999999999906E-3</v>
      </c>
    </row>
    <row r="30" spans="1:14" x14ac:dyDescent="0.3">
      <c r="A30" s="30">
        <v>26</v>
      </c>
      <c r="B30" s="57">
        <f t="shared" si="4"/>
        <v>1999</v>
      </c>
      <c r="C30" s="46">
        <f t="shared" si="5"/>
        <v>61024.174315838638</v>
      </c>
      <c r="D30" s="40"/>
      <c r="E30" s="47">
        <f t="shared" si="0"/>
        <v>62810.046777191652</v>
      </c>
      <c r="F30" s="42">
        <f t="shared" si="1"/>
        <v>31405.023388595826</v>
      </c>
      <c r="G30" s="42">
        <f t="shared" si="2"/>
        <v>7207.4528676827413</v>
      </c>
      <c r="H30" s="40">
        <f t="shared" si="3"/>
        <v>101422.52303347022</v>
      </c>
      <c r="J30" s="31">
        <v>26</v>
      </c>
      <c r="K30" s="44">
        <f t="shared" si="6"/>
        <v>2.9264999999999933E-2</v>
      </c>
      <c r="M30" s="31">
        <v>26</v>
      </c>
      <c r="N30" s="44">
        <f t="shared" si="7"/>
        <v>8.6249999999999903E-3</v>
      </c>
    </row>
    <row r="31" spans="1:14" x14ac:dyDescent="0.3">
      <c r="A31" s="30">
        <v>27</v>
      </c>
      <c r="B31" s="30">
        <f t="shared" si="4"/>
        <v>1998</v>
      </c>
      <c r="C31" s="46">
        <f t="shared" si="5"/>
        <v>61527.623753944303</v>
      </c>
      <c r="D31" s="40"/>
      <c r="E31" s="47">
        <f t="shared" si="0"/>
        <v>63300.696051473591</v>
      </c>
      <c r="F31" s="42">
        <f t="shared" si="1"/>
        <v>31650.348025736796</v>
      </c>
      <c r="G31" s="42">
        <f t="shared" si="2"/>
        <v>7263.7548719065944</v>
      </c>
      <c r="H31" s="40">
        <f t="shared" si="3"/>
        <v>102214.79894911699</v>
      </c>
      <c r="J31" s="31">
        <v>27</v>
      </c>
      <c r="K31" s="44">
        <f t="shared" si="6"/>
        <v>2.8817499999999933E-2</v>
      </c>
      <c r="M31" s="31">
        <v>27</v>
      </c>
      <c r="N31" s="44">
        <f t="shared" si="7"/>
        <v>8.24999999999999E-3</v>
      </c>
    </row>
    <row r="32" spans="1:14" x14ac:dyDescent="0.3">
      <c r="A32" s="30">
        <v>28</v>
      </c>
      <c r="B32" s="30">
        <f t="shared" si="4"/>
        <v>1997</v>
      </c>
      <c r="C32" s="46">
        <f t="shared" si="5"/>
        <v>62012.153791006611</v>
      </c>
      <c r="D32" s="40"/>
      <c r="E32" s="47">
        <f t="shared" si="0"/>
        <v>63771.438594057465</v>
      </c>
      <c r="F32" s="42">
        <f t="shared" si="1"/>
        <v>31885.719297028732</v>
      </c>
      <c r="G32" s="42">
        <f t="shared" si="2"/>
        <v>7317.772578668094</v>
      </c>
      <c r="H32" s="40">
        <f t="shared" si="3"/>
        <v>102974.9304697543</v>
      </c>
      <c r="J32" s="31">
        <v>28</v>
      </c>
      <c r="K32" s="44">
        <f t="shared" si="6"/>
        <v>2.8369999999999933E-2</v>
      </c>
      <c r="M32" s="31">
        <v>28</v>
      </c>
      <c r="N32" s="44">
        <f t="shared" si="7"/>
        <v>7.8749999999999896E-3</v>
      </c>
    </row>
    <row r="33" spans="1:14" x14ac:dyDescent="0.3">
      <c r="A33" s="30">
        <v>29</v>
      </c>
      <c r="B33" s="30">
        <f t="shared" si="4"/>
        <v>1996</v>
      </c>
      <c r="C33" s="46">
        <f t="shared" si="5"/>
        <v>62477.24494443916</v>
      </c>
      <c r="D33" s="40"/>
      <c r="E33" s="47">
        <f t="shared" si="0"/>
        <v>64221.765816400257</v>
      </c>
      <c r="F33" s="42">
        <f t="shared" si="1"/>
        <v>32110.882908200128</v>
      </c>
      <c r="G33" s="42">
        <f t="shared" si="2"/>
        <v>7369.4476274319295</v>
      </c>
      <c r="H33" s="40">
        <f t="shared" si="3"/>
        <v>103702.09635203231</v>
      </c>
      <c r="J33" s="31">
        <v>29</v>
      </c>
      <c r="K33" s="44">
        <f t="shared" si="6"/>
        <v>2.7922499999999933E-2</v>
      </c>
      <c r="M33" s="31">
        <v>29</v>
      </c>
      <c r="N33" s="44">
        <f t="shared" si="7"/>
        <v>7.4999999999999893E-3</v>
      </c>
    </row>
    <row r="34" spans="1:14" s="59" customFormat="1" x14ac:dyDescent="0.3">
      <c r="A34" s="49">
        <v>30</v>
      </c>
      <c r="B34" s="49">
        <f t="shared" si="4"/>
        <v>1995</v>
      </c>
      <c r="C34" s="50">
        <f t="shared" si="5"/>
        <v>62922.395314668291</v>
      </c>
      <c r="D34" s="51"/>
      <c r="E34" s="58">
        <f t="shared" si="0"/>
        <v>64651.188125938796</v>
      </c>
      <c r="F34" s="53">
        <f t="shared" si="1"/>
        <v>32325.594062969398</v>
      </c>
      <c r="G34" s="53">
        <f t="shared" si="2"/>
        <v>7418.7238374514773</v>
      </c>
      <c r="H34" s="51">
        <f t="shared" si="3"/>
        <v>104395.50602635967</v>
      </c>
      <c r="J34" s="59">
        <v>30</v>
      </c>
      <c r="K34" s="60">
        <f t="shared" si="6"/>
        <v>2.7474999999999934E-2</v>
      </c>
      <c r="M34" s="59">
        <v>30</v>
      </c>
      <c r="N34" s="60">
        <f t="shared" si="7"/>
        <v>7.124999999999989E-3</v>
      </c>
    </row>
    <row r="35" spans="1:14" x14ac:dyDescent="0.3">
      <c r="A35" s="30">
        <v>31</v>
      </c>
      <c r="B35" s="57">
        <f t="shared" si="4"/>
        <v>1994</v>
      </c>
      <c r="C35" s="46">
        <f t="shared" si="5"/>
        <v>63347.121483042298</v>
      </c>
      <c r="D35" s="40"/>
      <c r="E35" s="47">
        <f t="shared" si="0"/>
        <v>65059.235808925223</v>
      </c>
      <c r="F35" s="42">
        <f t="shared" si="1"/>
        <v>32529.617904462611</v>
      </c>
      <c r="G35" s="42">
        <f t="shared" si="2"/>
        <v>7465.5473090741689</v>
      </c>
      <c r="H35" s="40">
        <f t="shared" si="3"/>
        <v>105054.401022462</v>
      </c>
      <c r="J35" s="31">
        <v>31</v>
      </c>
      <c r="K35" s="44">
        <f t="shared" si="6"/>
        <v>2.7027499999999934E-2</v>
      </c>
      <c r="M35" s="31">
        <v>31</v>
      </c>
      <c r="N35" s="44">
        <f t="shared" si="7"/>
        <v>6.7499999999999886E-3</v>
      </c>
    </row>
    <row r="36" spans="1:14" x14ac:dyDescent="0.3">
      <c r="A36" s="30">
        <v>32</v>
      </c>
      <c r="B36" s="30">
        <f t="shared" si="4"/>
        <v>1993</v>
      </c>
      <c r="C36" s="46">
        <f t="shared" si="5"/>
        <v>63750.959382496694</v>
      </c>
      <c r="D36" s="40"/>
      <c r="E36" s="47">
        <f t="shared" si="0"/>
        <v>65445.45988288345</v>
      </c>
      <c r="F36" s="42">
        <f t="shared" si="1"/>
        <v>32722.729941441725</v>
      </c>
      <c r="G36" s="42">
        <f t="shared" si="2"/>
        <v>7509.8665215608762</v>
      </c>
      <c r="H36" s="40">
        <f t="shared" si="3"/>
        <v>105678.05634588606</v>
      </c>
      <c r="J36" s="31">
        <v>32</v>
      </c>
      <c r="K36" s="44">
        <f t="shared" si="6"/>
        <v>2.6579999999999934E-2</v>
      </c>
      <c r="M36" s="31">
        <v>32</v>
      </c>
      <c r="N36" s="44">
        <f t="shared" si="7"/>
        <v>6.3749999999999883E-3</v>
      </c>
    </row>
    <row r="37" spans="1:14" x14ac:dyDescent="0.3">
      <c r="A37" s="30">
        <v>33</v>
      </c>
      <c r="B37" s="30">
        <f t="shared" si="4"/>
        <v>1992</v>
      </c>
      <c r="C37" s="46">
        <f t="shared" si="5"/>
        <v>64133.465138791675</v>
      </c>
      <c r="D37" s="40"/>
      <c r="E37" s="47">
        <f t="shared" si="0"/>
        <v>65809.43291653115</v>
      </c>
      <c r="F37" s="42">
        <f t="shared" si="1"/>
        <v>32904.716458265575</v>
      </c>
      <c r="G37" s="42">
        <f t="shared" si="2"/>
        <v>7551.6324271719486</v>
      </c>
      <c r="H37" s="40">
        <f t="shared" si="3"/>
        <v>106265.78180196867</v>
      </c>
      <c r="J37" s="31">
        <v>33</v>
      </c>
      <c r="K37" s="44">
        <f t="shared" si="6"/>
        <v>2.6132499999999934E-2</v>
      </c>
      <c r="M37" s="31">
        <v>33</v>
      </c>
      <c r="N37" s="44">
        <f t="shared" si="7"/>
        <v>5.999999999999988E-3</v>
      </c>
    </row>
    <row r="38" spans="1:14" x14ac:dyDescent="0.3">
      <c r="A38" s="30">
        <v>34</v>
      </c>
      <c r="B38" s="30">
        <f t="shared" si="4"/>
        <v>1991</v>
      </c>
      <c r="C38" s="46">
        <f t="shared" si="5"/>
        <v>64494.215880197378</v>
      </c>
      <c r="D38" s="40"/>
      <c r="E38" s="47">
        <f t="shared" si="0"/>
        <v>66150.749815080242</v>
      </c>
      <c r="F38" s="42">
        <f t="shared" si="1"/>
        <v>33075.374907540121</v>
      </c>
      <c r="G38" s="42">
        <f t="shared" si="2"/>
        <v>7590.7985412804574</v>
      </c>
      <c r="H38" s="40">
        <f t="shared" si="3"/>
        <v>106816.92326390081</v>
      </c>
      <c r="J38" s="31">
        <v>34</v>
      </c>
      <c r="K38" s="44">
        <f t="shared" si="6"/>
        <v>2.5684999999999934E-2</v>
      </c>
      <c r="M38" s="31">
        <v>34</v>
      </c>
      <c r="N38" s="44">
        <f t="shared" si="7"/>
        <v>5.6249999999999876E-3</v>
      </c>
    </row>
    <row r="39" spans="1:14" s="59" customFormat="1" x14ac:dyDescent="0.3">
      <c r="A39" s="49">
        <v>35</v>
      </c>
      <c r="B39" s="49">
        <f t="shared" si="4"/>
        <v>1990</v>
      </c>
      <c r="C39" s="50">
        <f t="shared" si="5"/>
        <v>64832.810513568416</v>
      </c>
      <c r="D39" s="51"/>
      <c r="E39" s="58">
        <f t="shared" si="0"/>
        <v>66469.0285689046</v>
      </c>
      <c r="F39" s="53">
        <f t="shared" si="1"/>
        <v>33234.5142844523</v>
      </c>
      <c r="G39" s="53">
        <f t="shared" si="2"/>
        <v>7627.3210282818018</v>
      </c>
      <c r="H39" s="51">
        <f t="shared" si="3"/>
        <v>107330.8638816387</v>
      </c>
      <c r="J39" s="59">
        <v>35</v>
      </c>
      <c r="K39" s="60">
        <f t="shared" si="6"/>
        <v>2.5237499999999934E-2</v>
      </c>
      <c r="M39" s="59">
        <v>35</v>
      </c>
      <c r="N39" s="60">
        <f t="shared" si="7"/>
        <v>5.2499999999999873E-3</v>
      </c>
    </row>
    <row r="40" spans="1:14" x14ac:dyDescent="0.3">
      <c r="A40" s="30">
        <v>36</v>
      </c>
      <c r="B40" s="57">
        <f t="shared" si="4"/>
        <v>1989</v>
      </c>
      <c r="C40" s="46">
        <f t="shared" si="5"/>
        <v>65148.870464822059</v>
      </c>
      <c r="D40" s="40"/>
      <c r="E40" s="47">
        <f t="shared" si="0"/>
        <v>66763.910963644987</v>
      </c>
      <c r="F40" s="42">
        <f t="shared" si="1"/>
        <v>33381.955481822493</v>
      </c>
      <c r="G40" s="42">
        <f t="shared" si="2"/>
        <v>7661.1587830782628</v>
      </c>
      <c r="H40" s="40">
        <f t="shared" si="3"/>
        <v>107807.02522854575</v>
      </c>
      <c r="J40" s="31">
        <v>36</v>
      </c>
      <c r="K40" s="44">
        <f t="shared" si="6"/>
        <v>2.4789999999999934E-2</v>
      </c>
      <c r="M40" s="31">
        <v>36</v>
      </c>
      <c r="N40" s="44">
        <f t="shared" si="7"/>
        <v>4.874999999999987E-3</v>
      </c>
    </row>
    <row r="41" spans="1:14" x14ac:dyDescent="0.3">
      <c r="A41" s="30">
        <v>37</v>
      </c>
      <c r="B41" s="30">
        <f t="shared" si="4"/>
        <v>1988</v>
      </c>
      <c r="C41" s="46">
        <f t="shared" si="5"/>
        <v>65442.040381913757</v>
      </c>
      <c r="D41" s="40"/>
      <c r="E41" s="47">
        <f t="shared" si="0"/>
        <v>67035.063249910483</v>
      </c>
      <c r="F41" s="42">
        <f t="shared" si="1"/>
        <v>33517.531624955242</v>
      </c>
      <c r="G41" s="42">
        <f t="shared" si="2"/>
        <v>7692.2735079272279</v>
      </c>
      <c r="H41" s="40">
        <f t="shared" si="3"/>
        <v>108244.86838279295</v>
      </c>
      <c r="J41" s="31">
        <v>37</v>
      </c>
      <c r="K41" s="44">
        <f t="shared" si="6"/>
        <v>2.4342499999999934E-2</v>
      </c>
      <c r="M41" s="31">
        <v>37</v>
      </c>
      <c r="N41" s="44">
        <f t="shared" si="7"/>
        <v>4.4999999999999866E-3</v>
      </c>
    </row>
    <row r="42" spans="1:14" x14ac:dyDescent="0.3">
      <c r="A42" s="30">
        <v>38</v>
      </c>
      <c r="B42" s="30">
        <f t="shared" si="4"/>
        <v>1987</v>
      </c>
      <c r="C42" s="46">
        <f t="shared" si="5"/>
        <v>65711.988798489154</v>
      </c>
      <c r="D42" s="40"/>
      <c r="E42" s="47">
        <f t="shared" si="0"/>
        <v>67282.176770829043</v>
      </c>
      <c r="F42" s="42">
        <f t="shared" si="1"/>
        <v>33641.088385414521</v>
      </c>
      <c r="G42" s="42">
        <f t="shared" si="2"/>
        <v>7720.6297844526325</v>
      </c>
      <c r="H42" s="40">
        <f t="shared" si="3"/>
        <v>108643.89494069619</v>
      </c>
      <c r="J42" s="31">
        <v>38</v>
      </c>
      <c r="K42" s="44">
        <f t="shared" si="6"/>
        <v>2.3894999999999934E-2</v>
      </c>
      <c r="M42" s="31">
        <v>38</v>
      </c>
      <c r="N42" s="44">
        <f t="shared" si="7"/>
        <v>4.1249999999999863E-3</v>
      </c>
    </row>
    <row r="43" spans="1:14" x14ac:dyDescent="0.3">
      <c r="A43" s="30">
        <v>39</v>
      </c>
      <c r="B43" s="30">
        <f t="shared" si="4"/>
        <v>1986</v>
      </c>
      <c r="C43" s="46">
        <f t="shared" si="5"/>
        <v>65958.408756483492</v>
      </c>
      <c r="D43" s="40"/>
      <c r="E43" s="47">
        <f t="shared" si="0"/>
        <v>67504.968545801137</v>
      </c>
      <c r="F43" s="42">
        <f t="shared" si="1"/>
        <v>33752.484272900569</v>
      </c>
      <c r="G43" s="42">
        <f t="shared" si="2"/>
        <v>7746.1951406306807</v>
      </c>
      <c r="H43" s="40">
        <f t="shared" si="3"/>
        <v>109003.64795933239</v>
      </c>
      <c r="J43" s="31">
        <v>39</v>
      </c>
      <c r="K43" s="44">
        <f t="shared" si="6"/>
        <v>2.3447499999999934E-2</v>
      </c>
      <c r="M43" s="31">
        <v>39</v>
      </c>
      <c r="N43" s="44">
        <f t="shared" si="7"/>
        <v>3.7499999999999864E-3</v>
      </c>
    </row>
    <row r="44" spans="1:14" s="59" customFormat="1" x14ac:dyDescent="0.3">
      <c r="A44" s="49">
        <v>40</v>
      </c>
      <c r="B44" s="49">
        <f t="shared" si="4"/>
        <v>1985</v>
      </c>
      <c r="C44" s="50">
        <f t="shared" si="5"/>
        <v>66181.018386036623</v>
      </c>
      <c r="D44" s="51"/>
      <c r="E44" s="58">
        <f t="shared" si="0"/>
        <v>67703.181808915455</v>
      </c>
      <c r="F44" s="53">
        <f t="shared" si="1"/>
        <v>33851.590904457727</v>
      </c>
      <c r="G44" s="53">
        <f t="shared" si="2"/>
        <v>7768.9401125730483</v>
      </c>
      <c r="H44" s="51">
        <f t="shared" si="3"/>
        <v>109323.71282594623</v>
      </c>
      <c r="J44" s="59">
        <v>40</v>
      </c>
      <c r="K44" s="60">
        <f t="shared" si="6"/>
        <v>2.2999999999999934E-2</v>
      </c>
      <c r="M44" s="59">
        <v>40</v>
      </c>
      <c r="N44" s="60">
        <f t="shared" si="7"/>
        <v>3.3749999999999865E-3</v>
      </c>
    </row>
    <row r="45" spans="1:14" x14ac:dyDescent="0.3">
      <c r="N45" s="44"/>
    </row>
  </sheetData>
  <sheetProtection algorithmName="SHA-512" hashValue="opfGBkbYtLAeLXQ/Q19uWbzrcugQkaeFFDdWWEXufGF5KlW8POozIARfKHzHPO6gWPo2cKp+fkCs4mU4lRigQw==" saltValue="uuA6ty54lRjTYRAAuWb7Xw==" spinCount="100000" sheet="1" objects="1" scenarios="1"/>
  <mergeCells count="2">
    <mergeCell ref="B2:C2"/>
    <mergeCell ref="K2:P2"/>
  </mergeCells>
  <pageMargins left="0.7" right="0.7" top="0.75" bottom="0.75" header="0.3" footer="0.3"/>
  <pageSetup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Reverse Calculator</vt:lpstr>
      <vt:lpstr>2027 Minister Salary Table</vt:lpstr>
      <vt:lpstr>2026 Minister Salary Table</vt:lpstr>
      <vt:lpstr>2025 Minister Salary Table</vt:lpstr>
      <vt:lpstr>'2025 Minister Salary Table'!Print_Area</vt:lpstr>
      <vt:lpstr>'2027 Minister Salary Table'!Print_Area</vt:lpstr>
      <vt:lpstr>'Reverse Calculator'!Print_Area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Annelies Seffrood</dc:creator>
  <cp:lastModifiedBy>Annelies Seffrood</cp:lastModifiedBy>
  <cp:lastPrinted>2024-11-11T21:20:36Z</cp:lastPrinted>
  <dcterms:created xsi:type="dcterms:W3CDTF">2024-11-11T21:06:45Z</dcterms:created>
  <dcterms:modified xsi:type="dcterms:W3CDTF">2026-06-29T15:21:28Z</dcterms:modified>
</cp:coreProperties>
</file>