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swissdairy-my.sharepoint.com/personal/annelies_norswissdairy_onmicrosoft_com/Documents/Anne Synod Compensation Committee/2027 Synod Guidelines/2027 Approved Documents/"/>
    </mc:Choice>
  </mc:AlternateContent>
  <xr:revisionPtr revIDLastSave="22" documentId="8_{C24049D3-C4E8-40A0-8049-112A2A3E3EF7}" xr6:coauthVersionLast="47" xr6:coauthVersionMax="47" xr10:uidLastSave="{906C95E8-E15D-41EE-898A-C699CF403F95}"/>
  <bookViews>
    <workbookView xWindow="-110" yWindow="-110" windowWidth="25820" windowHeight="15500" activeTab="3" xr2:uid="{7B1BD930-A8DD-4FE4-B8B6-A8AD7DC3BB4D}"/>
  </bookViews>
  <sheets>
    <sheet name="Directions" sheetId="4" r:id="rId1"/>
    <sheet name="Comp Worksheet-Parsonage" sheetId="6" r:id="rId2"/>
    <sheet name="Example with Parsonage" sheetId="9" r:id="rId3"/>
    <sheet name="Reverse Calculator" sheetId="11" r:id="rId4"/>
    <sheet name="2027 Minister Salary Table" sheetId="12" r:id="rId5"/>
    <sheet name="2026 Minister Salary Table" sheetId="10" r:id="rId6"/>
    <sheet name="2025 Minister Salary Table" sheetId="8" r:id="rId7"/>
    <sheet name="2024 Minister Salary Table" sheetId="7" r:id="rId8"/>
    <sheet name="2023 Minister Salary Table" sheetId="3" r:id="rId9"/>
  </sheets>
  <definedNames>
    <definedName name="_xlnm.Print_Area" localSheetId="8">'2023 Minister Salary Table'!$A:$G</definedName>
    <definedName name="_xlnm.Print_Area" localSheetId="7">'2024 Minister Salary Table'!$A:$N</definedName>
    <definedName name="_xlnm.Print_Area" localSheetId="6">'2025 Minister Salary Table'!$A:$H</definedName>
    <definedName name="_xlnm.Print_Area" localSheetId="5">'2026 Minister Salary Table'!$A:$H</definedName>
    <definedName name="_xlnm.Print_Area" localSheetId="4">'2027 Minister Salary Table'!$A:$H</definedName>
    <definedName name="_xlnm.Print_Area" localSheetId="1">'Comp Worksheet-Parsonage'!$A$3:$AC$55</definedName>
    <definedName name="_xlnm.Print_Area" localSheetId="3">'Reverse Calculator'!$A$1:$U$44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11" l="1"/>
  <c r="F37" i="11"/>
  <c r="AE11" i="9"/>
  <c r="AA11" i="9"/>
  <c r="W11" i="9"/>
  <c r="Q11" i="9"/>
  <c r="L11" i="9"/>
  <c r="Q11" i="6"/>
  <c r="L11" i="6"/>
  <c r="B7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K6" i="12"/>
  <c r="K7" i="12" s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B6" i="12"/>
  <c r="O5" i="12"/>
  <c r="N6" i="12" s="1"/>
  <c r="N7" i="12" s="1"/>
  <c r="N8" i="12" s="1"/>
  <c r="N9" i="12" s="1"/>
  <c r="N10" i="12" s="1"/>
  <c r="N11" i="12" s="1"/>
  <c r="N12" i="12" s="1"/>
  <c r="N13" i="12" s="1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N29" i="12" s="1"/>
  <c r="N30" i="12" s="1"/>
  <c r="N31" i="12" s="1"/>
  <c r="N32" i="12" s="1"/>
  <c r="N33" i="12" s="1"/>
  <c r="N34" i="12" s="1"/>
  <c r="N35" i="12" s="1"/>
  <c r="N36" i="12" s="1"/>
  <c r="N37" i="12" s="1"/>
  <c r="N38" i="12" s="1"/>
  <c r="N39" i="12" s="1"/>
  <c r="N40" i="12" s="1"/>
  <c r="N41" i="12" s="1"/>
  <c r="N42" i="12" s="1"/>
  <c r="N43" i="12" s="1"/>
  <c r="N44" i="12" s="1"/>
  <c r="K5" i="12"/>
  <c r="C5" i="12"/>
  <c r="E5" i="12" s="1"/>
  <c r="B5" i="12"/>
  <c r="L4" i="12"/>
  <c r="E4" i="12"/>
  <c r="G5" i="12" l="1"/>
  <c r="H5" i="12" s="1"/>
  <c r="F5" i="12"/>
  <c r="F4" i="12"/>
  <c r="G4" i="12" s="1"/>
  <c r="C6" i="12"/>
  <c r="E6" i="12" l="1"/>
  <c r="C7" i="12"/>
  <c r="H4" i="12"/>
  <c r="C8" i="12" l="1"/>
  <c r="E7" i="12"/>
  <c r="F6" i="12"/>
  <c r="E8" i="12" l="1"/>
  <c r="C9" i="12"/>
  <c r="G6" i="12"/>
  <c r="H6" i="12" s="1"/>
  <c r="F7" i="12"/>
  <c r="H7" i="12" l="1"/>
  <c r="G7" i="12"/>
  <c r="P9" i="12"/>
  <c r="E9" i="12"/>
  <c r="C10" i="12"/>
  <c r="F8" i="12"/>
  <c r="G8" i="12" s="1"/>
  <c r="H8" i="12" l="1"/>
  <c r="C11" i="12"/>
  <c r="E10" i="12"/>
  <c r="F9" i="12"/>
  <c r="G9" i="12" l="1"/>
  <c r="H9" i="12" s="1"/>
  <c r="F10" i="12"/>
  <c r="E11" i="12"/>
  <c r="C12" i="12"/>
  <c r="F11" i="12" l="1"/>
  <c r="G11" i="12" s="1"/>
  <c r="G10" i="12"/>
  <c r="H10" i="12" s="1"/>
  <c r="E12" i="12"/>
  <c r="C13" i="12"/>
  <c r="C14" i="12" l="1"/>
  <c r="E13" i="12"/>
  <c r="H11" i="12"/>
  <c r="F12" i="12"/>
  <c r="G12" i="12" s="1"/>
  <c r="H12" i="12" s="1"/>
  <c r="F13" i="12" l="1"/>
  <c r="G13" i="12" s="1"/>
  <c r="H13" i="12" s="1"/>
  <c r="E14" i="12"/>
  <c r="C15" i="12"/>
  <c r="F14" i="12" l="1"/>
  <c r="G14" i="12" s="1"/>
  <c r="C16" i="12"/>
  <c r="E15" i="12"/>
  <c r="C17" i="12" l="1"/>
  <c r="E16" i="12"/>
  <c r="H14" i="12"/>
  <c r="F15" i="12"/>
  <c r="G15" i="12" s="1"/>
  <c r="H15" i="12" s="1"/>
  <c r="G16" i="12" l="1"/>
  <c r="H16" i="12" s="1"/>
  <c r="F16" i="12"/>
  <c r="E17" i="12"/>
  <c r="C18" i="12"/>
  <c r="C19" i="12" l="1"/>
  <c r="E18" i="12"/>
  <c r="F17" i="12"/>
  <c r="G17" i="12" s="1"/>
  <c r="H17" i="12" s="1"/>
  <c r="G18" i="12" l="1"/>
  <c r="H18" i="12" s="1"/>
  <c r="F18" i="12"/>
  <c r="E19" i="12"/>
  <c r="C20" i="12"/>
  <c r="C21" i="12" l="1"/>
  <c r="E20" i="12"/>
  <c r="F19" i="12"/>
  <c r="F20" i="12" l="1"/>
  <c r="G19" i="12"/>
  <c r="H19" i="12" s="1"/>
  <c r="E21" i="12"/>
  <c r="C22" i="12"/>
  <c r="F21" i="12" l="1"/>
  <c r="C23" i="12"/>
  <c r="E22" i="12"/>
  <c r="G20" i="12"/>
  <c r="H20" i="12" s="1"/>
  <c r="H21" i="12" l="1"/>
  <c r="E23" i="12"/>
  <c r="C24" i="12"/>
  <c r="F22" i="12"/>
  <c r="G21" i="12"/>
  <c r="G22" i="12" l="1"/>
  <c r="H22" i="12" s="1"/>
  <c r="C25" i="12"/>
  <c r="E24" i="12"/>
  <c r="F23" i="12"/>
  <c r="E25" i="12" l="1"/>
  <c r="C26" i="12"/>
  <c r="F24" i="12"/>
  <c r="G23" i="12"/>
  <c r="H23" i="12" s="1"/>
  <c r="G24" i="12" l="1"/>
  <c r="H24" i="12" s="1"/>
  <c r="C27" i="12"/>
  <c r="E26" i="12"/>
  <c r="F25" i="12"/>
  <c r="G25" i="12" s="1"/>
  <c r="H25" i="12" l="1"/>
  <c r="E27" i="12"/>
  <c r="C28" i="12"/>
  <c r="F26" i="12"/>
  <c r="G26" i="12" l="1"/>
  <c r="H26" i="12" s="1"/>
  <c r="C29" i="12"/>
  <c r="E28" i="12"/>
  <c r="F27" i="12"/>
  <c r="H27" i="12" l="1"/>
  <c r="G27" i="12"/>
  <c r="E29" i="12"/>
  <c r="C30" i="12"/>
  <c r="F28" i="12"/>
  <c r="G28" i="12" l="1"/>
  <c r="H28" i="12" s="1"/>
  <c r="C31" i="12"/>
  <c r="E30" i="12"/>
  <c r="F29" i="12"/>
  <c r="G29" i="12" l="1"/>
  <c r="H29" i="12" s="1"/>
  <c r="F30" i="12"/>
  <c r="E31" i="12"/>
  <c r="C32" i="12"/>
  <c r="C33" i="12" l="1"/>
  <c r="E32" i="12"/>
  <c r="F31" i="12"/>
  <c r="G30" i="12"/>
  <c r="H30" i="12" s="1"/>
  <c r="H31" i="12" l="1"/>
  <c r="G31" i="12"/>
  <c r="E33" i="12"/>
  <c r="C34" i="12"/>
  <c r="F32" i="12"/>
  <c r="H32" i="12" l="1"/>
  <c r="G32" i="12"/>
  <c r="C35" i="12"/>
  <c r="E34" i="12"/>
  <c r="F33" i="12"/>
  <c r="G33" i="12" s="1"/>
  <c r="H33" i="12" l="1"/>
  <c r="F34" i="12"/>
  <c r="E35" i="12"/>
  <c r="C36" i="12"/>
  <c r="C37" i="12" l="1"/>
  <c r="E36" i="12"/>
  <c r="G34" i="12"/>
  <c r="H34" i="12" s="1"/>
  <c r="G35" i="12"/>
  <c r="F35" i="12"/>
  <c r="H35" i="12" s="1"/>
  <c r="F36" i="12" l="1"/>
  <c r="E37" i="12"/>
  <c r="C38" i="12"/>
  <c r="C39" i="12" l="1"/>
  <c r="E38" i="12"/>
  <c r="F37" i="12"/>
  <c r="G36" i="12"/>
  <c r="H36" i="12" s="1"/>
  <c r="G37" i="12" l="1"/>
  <c r="H37" i="12" s="1"/>
  <c r="F38" i="12"/>
  <c r="E39" i="12"/>
  <c r="C40" i="12"/>
  <c r="F39" i="12" l="1"/>
  <c r="C41" i="12"/>
  <c r="E40" i="12"/>
  <c r="G38" i="12"/>
  <c r="H38" i="12" s="1"/>
  <c r="F40" i="12" l="1"/>
  <c r="E41" i="12"/>
  <c r="C42" i="12"/>
  <c r="G39" i="12"/>
  <c r="H39" i="12" s="1"/>
  <c r="E42" i="12" l="1"/>
  <c r="C43" i="12"/>
  <c r="F41" i="12"/>
  <c r="G40" i="12"/>
  <c r="H40" i="12" s="1"/>
  <c r="G41" i="12" l="1"/>
  <c r="H41" i="12" s="1"/>
  <c r="E43" i="12"/>
  <c r="C44" i="12"/>
  <c r="E44" i="12" s="1"/>
  <c r="F42" i="12"/>
  <c r="G42" i="12" l="1"/>
  <c r="H42" i="12" s="1"/>
  <c r="F43" i="12"/>
  <c r="F44" i="12"/>
  <c r="G44" i="12" l="1"/>
  <c r="H44" i="12" s="1"/>
  <c r="G43" i="12"/>
  <c r="H43" i="12" s="1"/>
  <c r="R27" i="11" l="1"/>
  <c r="F27" i="11"/>
  <c r="R17" i="11"/>
  <c r="T11" i="11"/>
  <c r="H11" i="11"/>
  <c r="V9" i="11"/>
  <c r="R9" i="11"/>
  <c r="F9" i="11"/>
  <c r="O5" i="10" l="1"/>
  <c r="N6" i="10" s="1"/>
  <c r="N7" i="10" s="1"/>
  <c r="N8" i="10" s="1"/>
  <c r="N9" i="10" s="1"/>
  <c r="N10" i="10" s="1"/>
  <c r="N11" i="10" s="1"/>
  <c r="N12" i="10" s="1"/>
  <c r="N13" i="10" s="1"/>
  <c r="N14" i="10" s="1"/>
  <c r="N15" i="10" s="1"/>
  <c r="N16" i="10" s="1"/>
  <c r="N17" i="10" s="1"/>
  <c r="N18" i="10" s="1"/>
  <c r="N19" i="10" s="1"/>
  <c r="N20" i="10" s="1"/>
  <c r="N21" i="10" s="1"/>
  <c r="N22" i="10" s="1"/>
  <c r="N23" i="10" s="1"/>
  <c r="N24" i="10" s="1"/>
  <c r="N25" i="10" s="1"/>
  <c r="N26" i="10" s="1"/>
  <c r="N27" i="10" s="1"/>
  <c r="N28" i="10" s="1"/>
  <c r="N29" i="10" s="1"/>
  <c r="N30" i="10" s="1"/>
  <c r="N31" i="10" s="1"/>
  <c r="N32" i="10" s="1"/>
  <c r="N33" i="10" s="1"/>
  <c r="N34" i="10" s="1"/>
  <c r="N35" i="10" s="1"/>
  <c r="N36" i="10" s="1"/>
  <c r="N37" i="10" s="1"/>
  <c r="N38" i="10" s="1"/>
  <c r="N39" i="10" s="1"/>
  <c r="N40" i="10" s="1"/>
  <c r="N41" i="10" s="1"/>
  <c r="N42" i="10" s="1"/>
  <c r="N43" i="10" s="1"/>
  <c r="N44" i="10" s="1"/>
  <c r="C5" i="10"/>
  <c r="E5" i="10" s="1"/>
  <c r="B5" i="10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L4" i="10"/>
  <c r="K5" i="10" s="1"/>
  <c r="K6" i="10" s="1"/>
  <c r="K7" i="10" s="1"/>
  <c r="K8" i="10" s="1"/>
  <c r="K9" i="10" s="1"/>
  <c r="K10" i="10" s="1"/>
  <c r="K11" i="10" s="1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K33" i="10" s="1"/>
  <c r="K34" i="10" s="1"/>
  <c r="K35" i="10" s="1"/>
  <c r="K36" i="10" s="1"/>
  <c r="K37" i="10" s="1"/>
  <c r="K38" i="10" s="1"/>
  <c r="K39" i="10" s="1"/>
  <c r="K40" i="10" s="1"/>
  <c r="K41" i="10" s="1"/>
  <c r="K42" i="10" s="1"/>
  <c r="K43" i="10" s="1"/>
  <c r="K44" i="10" s="1"/>
  <c r="E4" i="10"/>
  <c r="F5" i="10" l="1"/>
  <c r="C6" i="10"/>
  <c r="F4" i="10"/>
  <c r="G4" i="10"/>
  <c r="H4" i="10" s="1"/>
  <c r="E6" i="10" l="1"/>
  <c r="C7" i="10"/>
  <c r="G5" i="10"/>
  <c r="H5" i="10" s="1"/>
  <c r="F6" i="10" l="1"/>
  <c r="E7" i="10"/>
  <c r="C8" i="10"/>
  <c r="E8" i="10" l="1"/>
  <c r="C9" i="10"/>
  <c r="F7" i="10"/>
  <c r="G7" i="10" s="1"/>
  <c r="G6" i="10"/>
  <c r="H6" i="10" s="1"/>
  <c r="H7" i="10" l="1"/>
  <c r="P9" i="10"/>
  <c r="C10" i="10"/>
  <c r="E9" i="10"/>
  <c r="F8" i="10"/>
  <c r="G8" i="10" s="1"/>
  <c r="H8" i="10" l="1"/>
  <c r="F9" i="10"/>
  <c r="G9" i="10" s="1"/>
  <c r="E10" i="10"/>
  <c r="C11" i="10"/>
  <c r="C12" i="10" l="1"/>
  <c r="E11" i="10"/>
  <c r="F10" i="10"/>
  <c r="G10" i="10"/>
  <c r="H10" i="10" s="1"/>
  <c r="H9" i="10"/>
  <c r="F11" i="10" l="1"/>
  <c r="G11" i="10"/>
  <c r="E12" i="10"/>
  <c r="C13" i="10"/>
  <c r="H11" i="10" l="1"/>
  <c r="F12" i="10"/>
  <c r="E13" i="10"/>
  <c r="C14" i="10"/>
  <c r="C15" i="10" l="1"/>
  <c r="E14" i="10"/>
  <c r="F13" i="10"/>
  <c r="G13" i="10"/>
  <c r="G12" i="10"/>
  <c r="H12" i="10" s="1"/>
  <c r="H13" i="10" l="1"/>
  <c r="F14" i="10"/>
  <c r="G14" i="10" s="1"/>
  <c r="C16" i="10"/>
  <c r="E15" i="10"/>
  <c r="H14" i="10" l="1"/>
  <c r="F15" i="10"/>
  <c r="G15" i="10" s="1"/>
  <c r="C17" i="10"/>
  <c r="E16" i="10"/>
  <c r="H15" i="10" l="1"/>
  <c r="F16" i="10"/>
  <c r="G16" i="10" s="1"/>
  <c r="C18" i="10"/>
  <c r="E17" i="10"/>
  <c r="H16" i="10" l="1"/>
  <c r="F17" i="10"/>
  <c r="G17" i="10" s="1"/>
  <c r="C19" i="10"/>
  <c r="E18" i="10"/>
  <c r="H17" i="10" l="1"/>
  <c r="F18" i="10"/>
  <c r="G18" i="10" s="1"/>
  <c r="H18" i="10" s="1"/>
  <c r="E19" i="10"/>
  <c r="C20" i="10"/>
  <c r="F19" i="10" l="1"/>
  <c r="C21" i="10"/>
  <c r="E20" i="10"/>
  <c r="C22" i="10" l="1"/>
  <c r="E21" i="10"/>
  <c r="G19" i="10"/>
  <c r="H19" i="10" s="1"/>
  <c r="F20" i="10"/>
  <c r="F21" i="10" l="1"/>
  <c r="G21" i="10"/>
  <c r="G20" i="10"/>
  <c r="H20" i="10" s="1"/>
  <c r="C23" i="10"/>
  <c r="E22" i="10"/>
  <c r="H21" i="10" l="1"/>
  <c r="C24" i="10"/>
  <c r="E23" i="10"/>
  <c r="F22" i="10"/>
  <c r="G22" i="10" s="1"/>
  <c r="H22" i="10" l="1"/>
  <c r="F23" i="10"/>
  <c r="C25" i="10"/>
  <c r="E24" i="10"/>
  <c r="G23" i="10" l="1"/>
  <c r="H23" i="10" s="1"/>
  <c r="F24" i="10"/>
  <c r="E25" i="10"/>
  <c r="C26" i="10"/>
  <c r="F25" i="10" l="1"/>
  <c r="G25" i="10"/>
  <c r="G24" i="10"/>
  <c r="H24" i="10" s="1"/>
  <c r="C27" i="10"/>
  <c r="E26" i="10"/>
  <c r="H25" i="10" l="1"/>
  <c r="F26" i="10"/>
  <c r="G26" i="10" s="1"/>
  <c r="C28" i="10"/>
  <c r="E27" i="10"/>
  <c r="C29" i="10" l="1"/>
  <c r="E28" i="10"/>
  <c r="H26" i="10"/>
  <c r="F27" i="10"/>
  <c r="G27" i="10"/>
  <c r="H27" i="10" l="1"/>
  <c r="F28" i="10"/>
  <c r="C30" i="10"/>
  <c r="E29" i="10"/>
  <c r="F29" i="10" l="1"/>
  <c r="C31" i="10"/>
  <c r="E30" i="10"/>
  <c r="G28" i="10"/>
  <c r="H28" i="10" s="1"/>
  <c r="F30" i="10" l="1"/>
  <c r="G30" i="10" s="1"/>
  <c r="H30" i="10" s="1"/>
  <c r="C32" i="10"/>
  <c r="E31" i="10"/>
  <c r="G29" i="10"/>
  <c r="H29" i="10" s="1"/>
  <c r="C33" i="10" l="1"/>
  <c r="E32" i="10"/>
  <c r="F31" i="10"/>
  <c r="G31" i="10" s="1"/>
  <c r="H31" i="10" l="1"/>
  <c r="F32" i="10"/>
  <c r="G32" i="10" s="1"/>
  <c r="E33" i="10"/>
  <c r="C34" i="10"/>
  <c r="H32" i="10" l="1"/>
  <c r="C35" i="10"/>
  <c r="E34" i="10"/>
  <c r="F33" i="10"/>
  <c r="G33" i="10" s="1"/>
  <c r="H33" i="10" l="1"/>
  <c r="F34" i="10"/>
  <c r="G34" i="10" s="1"/>
  <c r="C36" i="10"/>
  <c r="E35" i="10"/>
  <c r="H34" i="10" l="1"/>
  <c r="F35" i="10"/>
  <c r="C37" i="10"/>
  <c r="E36" i="10"/>
  <c r="C38" i="10" l="1"/>
  <c r="E37" i="10"/>
  <c r="F36" i="10"/>
  <c r="G36" i="10"/>
  <c r="G35" i="10"/>
  <c r="H35" i="10" s="1"/>
  <c r="H36" i="10" l="1"/>
  <c r="F37" i="10"/>
  <c r="C39" i="10"/>
  <c r="E38" i="10"/>
  <c r="C40" i="10" l="1"/>
  <c r="E39" i="10"/>
  <c r="G37" i="10"/>
  <c r="H37" i="10" s="1"/>
  <c r="F38" i="10"/>
  <c r="G38" i="10"/>
  <c r="H38" i="10" l="1"/>
  <c r="F39" i="10"/>
  <c r="C41" i="10"/>
  <c r="E40" i="10"/>
  <c r="F40" i="10" l="1"/>
  <c r="G40" i="10"/>
  <c r="G39" i="10"/>
  <c r="H39" i="10" s="1"/>
  <c r="C42" i="10"/>
  <c r="E41" i="10"/>
  <c r="H40" i="10" l="1"/>
  <c r="C43" i="10"/>
  <c r="E42" i="10"/>
  <c r="F41" i="10"/>
  <c r="G41" i="10" l="1"/>
  <c r="H41" i="10" s="1"/>
  <c r="F42" i="10"/>
  <c r="C44" i="10"/>
  <c r="E44" i="10" s="1"/>
  <c r="E43" i="10"/>
  <c r="F44" i="10" l="1"/>
  <c r="G44" i="10" s="1"/>
  <c r="F43" i="10"/>
  <c r="G43" i="10"/>
  <c r="G42" i="10"/>
  <c r="H42" i="10" s="1"/>
  <c r="H43" i="10" l="1"/>
  <c r="H44" i="10"/>
  <c r="A9" i="4" l="1"/>
  <c r="A10" i="4"/>
  <c r="A4" i="4"/>
  <c r="A5" i="4" s="1"/>
  <c r="A6" i="4" s="1"/>
  <c r="A7" i="4" s="1"/>
  <c r="A8" i="4" s="1"/>
  <c r="AE36" i="9"/>
  <c r="AA36" i="9"/>
  <c r="W36" i="9"/>
  <c r="Q36" i="9"/>
  <c r="L36" i="9"/>
  <c r="AA36" i="6"/>
  <c r="W36" i="6"/>
  <c r="Q36" i="6"/>
  <c r="L36" i="6"/>
  <c r="AE13" i="9"/>
  <c r="AG13" i="9" s="1"/>
  <c r="O11" i="9"/>
  <c r="AG36" i="9"/>
  <c r="AG32" i="9"/>
  <c r="AE26" i="9"/>
  <c r="AG26" i="9" s="1"/>
  <c r="AG25" i="9"/>
  <c r="AG23" i="9"/>
  <c r="AG16" i="9"/>
  <c r="AA13" i="9"/>
  <c r="W13" i="9"/>
  <c r="Y13" i="9" s="1"/>
  <c r="AC36" i="9"/>
  <c r="Y36" i="9"/>
  <c r="S36" i="9"/>
  <c r="O36" i="9"/>
  <c r="H36" i="9"/>
  <c r="AC32" i="9"/>
  <c r="Y32" i="9"/>
  <c r="S32" i="9"/>
  <c r="O32" i="9"/>
  <c r="N32" i="9"/>
  <c r="H32" i="9"/>
  <c r="AA26" i="9"/>
  <c r="AC26" i="9" s="1"/>
  <c r="W26" i="9"/>
  <c r="Y26" i="9" s="1"/>
  <c r="Q26" i="9"/>
  <c r="S26" i="9" s="1"/>
  <c r="L26" i="9"/>
  <c r="O26" i="9" s="1"/>
  <c r="F26" i="9"/>
  <c r="H26" i="9" s="1"/>
  <c r="AC25" i="9"/>
  <c r="Y25" i="9"/>
  <c r="S25" i="9"/>
  <c r="O25" i="9"/>
  <c r="H25" i="9"/>
  <c r="AC23" i="9"/>
  <c r="Y23" i="9"/>
  <c r="S23" i="9"/>
  <c r="O23" i="9"/>
  <c r="H23" i="9"/>
  <c r="AC16" i="9"/>
  <c r="Y16" i="9"/>
  <c r="S16" i="9"/>
  <c r="O16" i="9"/>
  <c r="H16" i="9"/>
  <c r="F13" i="9"/>
  <c r="H13" i="9" s="1"/>
  <c r="H11" i="9"/>
  <c r="AG11" i="9" l="1"/>
  <c r="AE18" i="9"/>
  <c r="AG18" i="9" s="1"/>
  <c r="AA18" i="9"/>
  <c r="AA20" i="9" s="1"/>
  <c r="AA30" i="9" s="1"/>
  <c r="AC13" i="9"/>
  <c r="AC11" i="9"/>
  <c r="Y11" i="9"/>
  <c r="N11" i="9"/>
  <c r="L13" i="9"/>
  <c r="L18" i="9" s="1"/>
  <c r="S11" i="9"/>
  <c r="Q13" i="9"/>
  <c r="S13" i="9" s="1"/>
  <c r="W18" i="9"/>
  <c r="F18" i="9"/>
  <c r="N26" i="9"/>
  <c r="AC18" i="9" l="1"/>
  <c r="AE20" i="9"/>
  <c r="N13" i="9"/>
  <c r="O13" i="9"/>
  <c r="N18" i="9"/>
  <c r="O18" i="9"/>
  <c r="H18" i="9"/>
  <c r="F20" i="9"/>
  <c r="F30" i="9" s="1"/>
  <c r="AA34" i="9"/>
  <c r="AC34" i="9" s="1"/>
  <c r="AC20" i="9"/>
  <c r="Y18" i="9"/>
  <c r="W20" i="9"/>
  <c r="L20" i="9"/>
  <c r="L30" i="9" s="1"/>
  <c r="Q18" i="9"/>
  <c r="S18" i="9" s="1"/>
  <c r="W34" i="9" l="1"/>
  <c r="Y34" i="9" s="1"/>
  <c r="W30" i="9"/>
  <c r="AE30" i="9"/>
  <c r="AE34" i="9"/>
  <c r="AG34" i="9" s="1"/>
  <c r="AG20" i="9"/>
  <c r="Q20" i="9"/>
  <c r="AA38" i="9"/>
  <c r="AC30" i="9"/>
  <c r="F34" i="9"/>
  <c r="H34" i="9" s="1"/>
  <c r="H20" i="9"/>
  <c r="O20" i="9"/>
  <c r="L34" i="9"/>
  <c r="N20" i="9"/>
  <c r="Y20" i="9"/>
  <c r="AE38" i="9" l="1"/>
  <c r="AG30" i="9"/>
  <c r="Q34" i="9"/>
  <c r="S34" i="9" s="1"/>
  <c r="Q30" i="9"/>
  <c r="S20" i="9"/>
  <c r="O34" i="9"/>
  <c r="N34" i="9"/>
  <c r="O30" i="9"/>
  <c r="L38" i="9"/>
  <c r="N30" i="9"/>
  <c r="Y30" i="9"/>
  <c r="W38" i="9"/>
  <c r="F38" i="9"/>
  <c r="H30" i="9"/>
  <c r="AC38" i="9"/>
  <c r="AA41" i="9"/>
  <c r="AC41" i="9" s="1"/>
  <c r="Q38" i="9" l="1"/>
  <c r="S38" i="9" s="1"/>
  <c r="AG38" i="9"/>
  <c r="AE41" i="9"/>
  <c r="AG41" i="9" s="1"/>
  <c r="S30" i="9"/>
  <c r="Q41" i="9"/>
  <c r="S41" i="9" s="1"/>
  <c r="Y38" i="9"/>
  <c r="W41" i="9"/>
  <c r="Y41" i="9" s="1"/>
  <c r="O38" i="9"/>
  <c r="N38" i="9"/>
  <c r="L41" i="9"/>
  <c r="H38" i="9"/>
  <c r="F41" i="9"/>
  <c r="H41" i="9" s="1"/>
  <c r="O41" i="9" l="1"/>
  <c r="N41" i="9"/>
  <c r="N7" i="8" l="1"/>
  <c r="N8" i="8" s="1"/>
  <c r="N9" i="8" s="1"/>
  <c r="N10" i="8" s="1"/>
  <c r="N11" i="8" s="1"/>
  <c r="N12" i="8" s="1"/>
  <c r="N13" i="8" s="1"/>
  <c r="N14" i="8" s="1"/>
  <c r="N15" i="8" s="1"/>
  <c r="N16" i="8" s="1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N35" i="8" s="1"/>
  <c r="N36" i="8" s="1"/>
  <c r="N37" i="8" s="1"/>
  <c r="N38" i="8" s="1"/>
  <c r="N39" i="8" s="1"/>
  <c r="N40" i="8" s="1"/>
  <c r="N41" i="8" s="1"/>
  <c r="N42" i="8" s="1"/>
  <c r="N43" i="8" s="1"/>
  <c r="N44" i="8" s="1"/>
  <c r="O5" i="8"/>
  <c r="N6" i="8" s="1"/>
  <c r="K5" i="8"/>
  <c r="K6" i="8" s="1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C5" i="8"/>
  <c r="B5" i="8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L4" i="8"/>
  <c r="E4" i="8"/>
  <c r="E5" i="8" l="1"/>
  <c r="F4" i="8"/>
  <c r="G4" i="8" s="1"/>
  <c r="C6" i="8"/>
  <c r="H4" i="8" l="1"/>
  <c r="F5" i="8"/>
  <c r="G5" i="8" s="1"/>
  <c r="H5" i="8" s="1"/>
  <c r="C7" i="8"/>
  <c r="E6" i="8"/>
  <c r="E7" i="8" l="1"/>
  <c r="C8" i="8"/>
  <c r="F6" i="8"/>
  <c r="G6" i="8" s="1"/>
  <c r="H6" i="8" s="1"/>
  <c r="E8" i="8" l="1"/>
  <c r="C9" i="8"/>
  <c r="F7" i="8"/>
  <c r="G7" i="8" s="1"/>
  <c r="H7" i="8" l="1"/>
  <c r="F8" i="8"/>
  <c r="G8" i="8" s="1"/>
  <c r="C10" i="8"/>
  <c r="E9" i="8"/>
  <c r="P9" i="8"/>
  <c r="F9" i="8" l="1"/>
  <c r="G9" i="8" s="1"/>
  <c r="H9" i="8" s="1"/>
  <c r="H8" i="8"/>
  <c r="E10" i="8"/>
  <c r="C11" i="8"/>
  <c r="F10" i="8" l="1"/>
  <c r="G10" i="8" s="1"/>
  <c r="E11" i="8"/>
  <c r="C12" i="8"/>
  <c r="H10" i="8" l="1"/>
  <c r="C13" i="8"/>
  <c r="E12" i="8"/>
  <c r="F11" i="8"/>
  <c r="G11" i="8" s="1"/>
  <c r="H11" i="8" s="1"/>
  <c r="F12" i="8" l="1"/>
  <c r="C14" i="8"/>
  <c r="E13" i="8"/>
  <c r="F13" i="8" l="1"/>
  <c r="G13" i="8"/>
  <c r="C15" i="8"/>
  <c r="E14" i="8"/>
  <c r="G12" i="8"/>
  <c r="H12" i="8" s="1"/>
  <c r="H13" i="8" l="1"/>
  <c r="E15" i="8"/>
  <c r="C16" i="8"/>
  <c r="F14" i="8"/>
  <c r="G14" i="8" s="1"/>
  <c r="H14" i="8" l="1"/>
  <c r="E16" i="8"/>
  <c r="C17" i="8"/>
  <c r="F15" i="8"/>
  <c r="C18" i="8" l="1"/>
  <c r="E17" i="8"/>
  <c r="G15" i="8"/>
  <c r="H15" i="8" s="1"/>
  <c r="F16" i="8"/>
  <c r="G16" i="8" l="1"/>
  <c r="H16" i="8" s="1"/>
  <c r="F17" i="8"/>
  <c r="G17" i="8"/>
  <c r="C19" i="8"/>
  <c r="E18" i="8"/>
  <c r="H17" i="8" l="1"/>
  <c r="F18" i="8"/>
  <c r="G18" i="8"/>
  <c r="E19" i="8"/>
  <c r="C20" i="8"/>
  <c r="H18" i="8" l="1"/>
  <c r="E20" i="8"/>
  <c r="C21" i="8"/>
  <c r="F19" i="8"/>
  <c r="G19" i="8"/>
  <c r="H19" i="8" l="1"/>
  <c r="E21" i="8"/>
  <c r="C22" i="8"/>
  <c r="F20" i="8"/>
  <c r="G20" i="8"/>
  <c r="H20" i="8" l="1"/>
  <c r="C23" i="8"/>
  <c r="E22" i="8"/>
  <c r="F21" i="8"/>
  <c r="G21" i="8" s="1"/>
  <c r="H21" i="8" s="1"/>
  <c r="F22" i="8" l="1"/>
  <c r="G22" i="8" s="1"/>
  <c r="E23" i="8"/>
  <c r="C24" i="8"/>
  <c r="H22" i="8" l="1"/>
  <c r="E24" i="8"/>
  <c r="C25" i="8"/>
  <c r="F23" i="8"/>
  <c r="F24" i="8" l="1"/>
  <c r="G24" i="8" s="1"/>
  <c r="E25" i="8"/>
  <c r="C26" i="8"/>
  <c r="G23" i="8"/>
  <c r="H23" i="8" s="1"/>
  <c r="H24" i="8" l="1"/>
  <c r="C27" i="8"/>
  <c r="E26" i="8"/>
  <c r="F25" i="8"/>
  <c r="G25" i="8" s="1"/>
  <c r="H25" i="8" s="1"/>
  <c r="E27" i="8" l="1"/>
  <c r="C28" i="8"/>
  <c r="F26" i="8"/>
  <c r="G26" i="8" s="1"/>
  <c r="H26" i="8" l="1"/>
  <c r="E28" i="8"/>
  <c r="C29" i="8"/>
  <c r="F27" i="8"/>
  <c r="G27" i="8"/>
  <c r="H27" i="8" l="1"/>
  <c r="E29" i="8"/>
  <c r="C30" i="8"/>
  <c r="F28" i="8"/>
  <c r="G28" i="8"/>
  <c r="H28" i="8" l="1"/>
  <c r="F29" i="8"/>
  <c r="G29" i="8" s="1"/>
  <c r="E30" i="8"/>
  <c r="C31" i="8"/>
  <c r="F30" i="8" l="1"/>
  <c r="H29" i="8"/>
  <c r="E31" i="8"/>
  <c r="C32" i="8"/>
  <c r="F31" i="8" l="1"/>
  <c r="G31" i="8" s="1"/>
  <c r="H31" i="8" s="1"/>
  <c r="G30" i="8"/>
  <c r="H30" i="8" s="1"/>
  <c r="E32" i="8"/>
  <c r="C33" i="8"/>
  <c r="E33" i="8" l="1"/>
  <c r="C34" i="8"/>
  <c r="F32" i="8"/>
  <c r="E34" i="8" l="1"/>
  <c r="C35" i="8"/>
  <c r="G32" i="8"/>
  <c r="H32" i="8" s="1"/>
  <c r="F33" i="8"/>
  <c r="E35" i="8" l="1"/>
  <c r="C36" i="8"/>
  <c r="F34" i="8"/>
  <c r="G34" i="8"/>
  <c r="G33" i="8"/>
  <c r="H33" i="8" s="1"/>
  <c r="H34" i="8" l="1"/>
  <c r="E36" i="8"/>
  <c r="C37" i="8"/>
  <c r="F35" i="8"/>
  <c r="G35" i="8"/>
  <c r="H35" i="8" l="1"/>
  <c r="E37" i="8"/>
  <c r="C38" i="8"/>
  <c r="F36" i="8"/>
  <c r="G36" i="8" s="1"/>
  <c r="H36" i="8" l="1"/>
  <c r="E38" i="8"/>
  <c r="C39" i="8"/>
  <c r="F37" i="8"/>
  <c r="G37" i="8" s="1"/>
  <c r="F38" i="8" l="1"/>
  <c r="H37" i="8"/>
  <c r="E39" i="8"/>
  <c r="C40" i="8"/>
  <c r="F39" i="8" l="1"/>
  <c r="G39" i="8"/>
  <c r="H39" i="8" s="1"/>
  <c r="E40" i="8"/>
  <c r="C41" i="8"/>
  <c r="G38" i="8"/>
  <c r="H38" i="8" s="1"/>
  <c r="F40" i="8" l="1"/>
  <c r="G40" i="8" s="1"/>
  <c r="H40" i="8" s="1"/>
  <c r="E41" i="8"/>
  <c r="C42" i="8"/>
  <c r="F41" i="8" l="1"/>
  <c r="G41" i="8" s="1"/>
  <c r="H41" i="8" s="1"/>
  <c r="E42" i="8"/>
  <c r="C43" i="8"/>
  <c r="F42" i="8" l="1"/>
  <c r="G42" i="8" s="1"/>
  <c r="H42" i="8" s="1"/>
  <c r="E43" i="8"/>
  <c r="C44" i="8"/>
  <c r="F43" i="8" l="1"/>
  <c r="G43" i="8" s="1"/>
  <c r="E44" i="8"/>
  <c r="F44" i="8" l="1"/>
  <c r="G44" i="8" s="1"/>
  <c r="H43" i="8"/>
  <c r="H44" i="8" l="1"/>
  <c r="O16" i="6" l="1"/>
  <c r="S11" i="6"/>
  <c r="N11" i="6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U5" i="7"/>
  <c r="T6" i="7" s="1"/>
  <c r="T7" i="7" s="1"/>
  <c r="T8" i="7" s="1"/>
  <c r="T9" i="7" s="1"/>
  <c r="T10" i="7" s="1"/>
  <c r="T11" i="7" s="1"/>
  <c r="T12" i="7" s="1"/>
  <c r="T13" i="7" s="1"/>
  <c r="T14" i="7" s="1"/>
  <c r="T15" i="7" s="1"/>
  <c r="T16" i="7" s="1"/>
  <c r="T17" i="7" s="1"/>
  <c r="T18" i="7" s="1"/>
  <c r="T19" i="7" s="1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D5" i="7"/>
  <c r="C5" i="7"/>
  <c r="B5" i="7"/>
  <c r="B6" i="7" s="1"/>
  <c r="R4" i="7"/>
  <c r="Q5" i="7" s="1"/>
  <c r="Q6" i="7" s="1"/>
  <c r="Q7" i="7" s="1"/>
  <c r="Q8" i="7" s="1"/>
  <c r="Q9" i="7" s="1"/>
  <c r="Q10" i="7" s="1"/>
  <c r="Q11" i="7" s="1"/>
  <c r="Q12" i="7" s="1"/>
  <c r="Q13" i="7" s="1"/>
  <c r="Q14" i="7" s="1"/>
  <c r="Q15" i="7" s="1"/>
  <c r="Q16" i="7" s="1"/>
  <c r="Q17" i="7" s="1"/>
  <c r="Q18" i="7" s="1"/>
  <c r="Q19" i="7" s="1"/>
  <c r="Q20" i="7" s="1"/>
  <c r="Q21" i="7" s="1"/>
  <c r="Q22" i="7" s="1"/>
  <c r="Q23" i="7" s="1"/>
  <c r="Q24" i="7" s="1"/>
  <c r="Q25" i="7" s="1"/>
  <c r="Q26" i="7" s="1"/>
  <c r="Q27" i="7" s="1"/>
  <c r="Q28" i="7" s="1"/>
  <c r="Q29" i="7" s="1"/>
  <c r="Q30" i="7" s="1"/>
  <c r="Q31" i="7" s="1"/>
  <c r="Q32" i="7" s="1"/>
  <c r="Q33" i="7" s="1"/>
  <c r="Q34" i="7" s="1"/>
  <c r="Q35" i="7" s="1"/>
  <c r="Q36" i="7" s="1"/>
  <c r="Q37" i="7" s="1"/>
  <c r="Q38" i="7" s="1"/>
  <c r="Q39" i="7" s="1"/>
  <c r="Q40" i="7" s="1"/>
  <c r="Q41" i="7" s="1"/>
  <c r="Q42" i="7" s="1"/>
  <c r="Q43" i="7" s="1"/>
  <c r="Q44" i="7" s="1"/>
  <c r="L4" i="7"/>
  <c r="H4" i="7"/>
  <c r="F4" i="7"/>
  <c r="E4" i="7"/>
  <c r="H11" i="6"/>
  <c r="Y11" i="6"/>
  <c r="AC11" i="6"/>
  <c r="F13" i="6"/>
  <c r="F18" i="6" s="1"/>
  <c r="H18" i="6" s="1"/>
  <c r="W13" i="6"/>
  <c r="Y13" i="6" s="1"/>
  <c r="AA13" i="6"/>
  <c r="AA18" i="6" s="1"/>
  <c r="H16" i="6"/>
  <c r="S16" i="6"/>
  <c r="Y16" i="6"/>
  <c r="AC16" i="6"/>
  <c r="H36" i="6"/>
  <c r="O36" i="6"/>
  <c r="S36" i="6"/>
  <c r="Y36" i="6"/>
  <c r="AC36" i="6"/>
  <c r="H23" i="6"/>
  <c r="O23" i="6"/>
  <c r="S23" i="6"/>
  <c r="Y23" i="6"/>
  <c r="AC23" i="6"/>
  <c r="H25" i="6"/>
  <c r="O25" i="6"/>
  <c r="S25" i="6"/>
  <c r="Y25" i="6"/>
  <c r="AC25" i="6"/>
  <c r="F26" i="6"/>
  <c r="H26" i="6" s="1"/>
  <c r="L26" i="6"/>
  <c r="Q26" i="6"/>
  <c r="S26" i="6" s="1"/>
  <c r="W26" i="6"/>
  <c r="Y26" i="6" s="1"/>
  <c r="AA26" i="6"/>
  <c r="AC26" i="6" s="1"/>
  <c r="H32" i="6"/>
  <c r="N32" i="6"/>
  <c r="O32" i="6"/>
  <c r="S32" i="6"/>
  <c r="Y32" i="6"/>
  <c r="AC32" i="6"/>
  <c r="N26" i="6" l="1"/>
  <c r="H13" i="6"/>
  <c r="W18" i="6"/>
  <c r="Y18" i="6" s="1"/>
  <c r="F20" i="6"/>
  <c r="F30" i="6" s="1"/>
  <c r="Q13" i="6"/>
  <c r="S13" i="6" s="1"/>
  <c r="O11" i="6"/>
  <c r="C6" i="7"/>
  <c r="H5" i="7"/>
  <c r="E5" i="7"/>
  <c r="N4" i="7"/>
  <c r="I4" i="7"/>
  <c r="J4" i="7" s="1"/>
  <c r="M4" i="7"/>
  <c r="AC18" i="6"/>
  <c r="AA20" i="6"/>
  <c r="AC13" i="6"/>
  <c r="L13" i="6"/>
  <c r="O26" i="6"/>
  <c r="AA34" i="6" l="1"/>
  <c r="AC34" i="6" s="1"/>
  <c r="AA30" i="6"/>
  <c r="W20" i="6"/>
  <c r="F34" i="6"/>
  <c r="H34" i="6" s="1"/>
  <c r="H20" i="6"/>
  <c r="Q18" i="6"/>
  <c r="S18" i="6" s="1"/>
  <c r="L5" i="7"/>
  <c r="M5" i="7" s="1"/>
  <c r="F5" i="7"/>
  <c r="I5" i="7"/>
  <c r="J5" i="7" s="1"/>
  <c r="D6" i="7"/>
  <c r="C7" i="7"/>
  <c r="H6" i="7"/>
  <c r="I6" i="7" s="1"/>
  <c r="J6" i="7" s="1"/>
  <c r="E6" i="7"/>
  <c r="N13" i="6"/>
  <c r="O13" i="6"/>
  <c r="AC20" i="6"/>
  <c r="L18" i="6"/>
  <c r="L20" i="6" s="1"/>
  <c r="F38" i="6" l="1"/>
  <c r="F41" i="6" s="1"/>
  <c r="H41" i="6" s="1"/>
  <c r="W34" i="6"/>
  <c r="Y34" i="6" s="1"/>
  <c r="W30" i="6"/>
  <c r="Y30" i="6" s="1"/>
  <c r="L34" i="6"/>
  <c r="L30" i="6"/>
  <c r="AA38" i="6"/>
  <c r="AC38" i="6" s="1"/>
  <c r="H30" i="6"/>
  <c r="Y20" i="6"/>
  <c r="N20" i="6"/>
  <c r="O20" i="6"/>
  <c r="Q20" i="6"/>
  <c r="H7" i="7"/>
  <c r="E7" i="7"/>
  <c r="I7" i="7"/>
  <c r="J7" i="7" s="1"/>
  <c r="D7" i="7"/>
  <c r="C8" i="7"/>
  <c r="N5" i="7"/>
  <c r="L6" i="7"/>
  <c r="M6" i="7" s="1"/>
  <c r="N6" i="7" s="1"/>
  <c r="F6" i="7"/>
  <c r="AC30" i="6"/>
  <c r="N18" i="6"/>
  <c r="O18" i="6"/>
  <c r="H38" i="6" l="1"/>
  <c r="L38" i="6"/>
  <c r="N38" i="6" s="1"/>
  <c r="Q34" i="6"/>
  <c r="Q30" i="6"/>
  <c r="W38" i="6"/>
  <c r="Y38" i="6" s="1"/>
  <c r="S34" i="6"/>
  <c r="S20" i="6"/>
  <c r="N30" i="6"/>
  <c r="O30" i="6"/>
  <c r="N34" i="6"/>
  <c r="O34" i="6"/>
  <c r="C9" i="7"/>
  <c r="D8" i="7"/>
  <c r="E8" i="7"/>
  <c r="H8" i="7"/>
  <c r="F7" i="7"/>
  <c r="M7" i="7"/>
  <c r="L7" i="7"/>
  <c r="N7" i="7" s="1"/>
  <c r="AA41" i="6"/>
  <c r="AC41" i="6" s="1"/>
  <c r="O38" i="6" l="1"/>
  <c r="W41" i="6"/>
  <c r="Y41" i="6" s="1"/>
  <c r="Q38" i="6"/>
  <c r="S38" i="6" s="1"/>
  <c r="L41" i="6"/>
  <c r="S30" i="6"/>
  <c r="L8" i="7"/>
  <c r="F8" i="7"/>
  <c r="M8" i="7"/>
  <c r="N8" i="7" s="1"/>
  <c r="E9" i="7"/>
  <c r="D9" i="7"/>
  <c r="J9" i="7"/>
  <c r="H9" i="7"/>
  <c r="C10" i="7"/>
  <c r="I9" i="7"/>
  <c r="I8" i="7"/>
  <c r="J8" i="7" s="1"/>
  <c r="Q41" i="6" l="1"/>
  <c r="S41" i="6" s="1"/>
  <c r="N41" i="6"/>
  <c r="O41" i="6"/>
  <c r="L9" i="7"/>
  <c r="F9" i="7"/>
  <c r="C11" i="7"/>
  <c r="H10" i="7"/>
  <c r="D10" i="7"/>
  <c r="E10" i="7"/>
  <c r="J4" i="3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M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E4" i="3"/>
  <c r="H11" i="7" l="1"/>
  <c r="C12" i="7"/>
  <c r="E11" i="7"/>
  <c r="D11" i="7"/>
  <c r="F10" i="7"/>
  <c r="L10" i="7"/>
  <c r="N10" i="7" s="1"/>
  <c r="M10" i="7"/>
  <c r="M9" i="7"/>
  <c r="N9" i="7" s="1"/>
  <c r="I10" i="7"/>
  <c r="J10" i="7" s="1"/>
  <c r="C5" i="3"/>
  <c r="F4" i="3"/>
  <c r="L11" i="7" l="1"/>
  <c r="M11" i="7" s="1"/>
  <c r="N11" i="7" s="1"/>
  <c r="F11" i="7"/>
  <c r="I11" i="7"/>
  <c r="J11" i="7" s="1"/>
  <c r="E12" i="7"/>
  <c r="D12" i="7"/>
  <c r="C13" i="7"/>
  <c r="H12" i="7"/>
  <c r="I12" i="7" s="1"/>
  <c r="C6" i="3"/>
  <c r="E5" i="3"/>
  <c r="D5" i="3"/>
  <c r="F5" i="3"/>
  <c r="D6" i="3"/>
  <c r="C7" i="3"/>
  <c r="E6" i="3"/>
  <c r="J12" i="7" l="1"/>
  <c r="F12" i="7"/>
  <c r="L12" i="7"/>
  <c r="N12" i="7" s="1"/>
  <c r="M12" i="7"/>
  <c r="C14" i="7"/>
  <c r="I13" i="7"/>
  <c r="J13" i="7" s="1"/>
  <c r="H13" i="7"/>
  <c r="E13" i="7"/>
  <c r="D13" i="7"/>
  <c r="D7" i="3"/>
  <c r="E7" i="3"/>
  <c r="C8" i="3"/>
  <c r="F6" i="3"/>
  <c r="D14" i="7" l="1"/>
  <c r="C15" i="7"/>
  <c r="E14" i="7"/>
  <c r="H14" i="7"/>
  <c r="I14" i="7" s="1"/>
  <c r="J14" i="7" s="1"/>
  <c r="L13" i="7"/>
  <c r="M13" i="7" s="1"/>
  <c r="F13" i="7"/>
  <c r="F7" i="3"/>
  <c r="D8" i="3"/>
  <c r="C9" i="3"/>
  <c r="E8" i="3"/>
  <c r="N13" i="7" l="1"/>
  <c r="L14" i="7"/>
  <c r="M14" i="7" s="1"/>
  <c r="F14" i="7"/>
  <c r="H15" i="7"/>
  <c r="I15" i="7" s="1"/>
  <c r="J15" i="7" s="1"/>
  <c r="E15" i="7"/>
  <c r="D15" i="7"/>
  <c r="C16" i="7"/>
  <c r="F8" i="3"/>
  <c r="E9" i="3"/>
  <c r="D9" i="3"/>
  <c r="C10" i="3"/>
  <c r="F15" i="7" l="1"/>
  <c r="L15" i="7"/>
  <c r="M15" i="7" s="1"/>
  <c r="C17" i="7"/>
  <c r="I16" i="7"/>
  <c r="J16" i="7" s="1"/>
  <c r="E16" i="7"/>
  <c r="H16" i="7"/>
  <c r="D16" i="7"/>
  <c r="N14" i="7"/>
  <c r="F9" i="3"/>
  <c r="C11" i="3"/>
  <c r="E10" i="3"/>
  <c r="D10" i="3"/>
  <c r="L16" i="7" l="1"/>
  <c r="F16" i="7"/>
  <c r="M16" i="7"/>
  <c r="N16" i="7" s="1"/>
  <c r="E17" i="7"/>
  <c r="D17" i="7"/>
  <c r="I17" i="7"/>
  <c r="J17" i="7" s="1"/>
  <c r="C18" i="7"/>
  <c r="H17" i="7"/>
  <c r="N15" i="7"/>
  <c r="F10" i="3"/>
  <c r="C12" i="3"/>
  <c r="D11" i="3"/>
  <c r="E11" i="3"/>
  <c r="L17" i="7" l="1"/>
  <c r="F17" i="7"/>
  <c r="C19" i="7"/>
  <c r="H18" i="7"/>
  <c r="D18" i="7"/>
  <c r="E18" i="7"/>
  <c r="E12" i="3"/>
  <c r="D12" i="3"/>
  <c r="C13" i="3"/>
  <c r="F11" i="3"/>
  <c r="I18" i="7" l="1"/>
  <c r="J18" i="7" s="1"/>
  <c r="H19" i="7"/>
  <c r="I19" i="7" s="1"/>
  <c r="J19" i="7" s="1"/>
  <c r="E19" i="7"/>
  <c r="D19" i="7"/>
  <c r="C20" i="7"/>
  <c r="M17" i="7"/>
  <c r="N17" i="7" s="1"/>
  <c r="F18" i="7"/>
  <c r="L18" i="7"/>
  <c r="C14" i="3"/>
  <c r="E13" i="3"/>
  <c r="D13" i="3"/>
  <c r="F12" i="3"/>
  <c r="E20" i="7" l="1"/>
  <c r="D20" i="7"/>
  <c r="H20" i="7"/>
  <c r="I20" i="7" s="1"/>
  <c r="C21" i="7"/>
  <c r="M19" i="7"/>
  <c r="N19" i="7" s="1"/>
  <c r="L19" i="7"/>
  <c r="F19" i="7"/>
  <c r="M18" i="7"/>
  <c r="N18" i="7" s="1"/>
  <c r="F13" i="3"/>
  <c r="D14" i="3"/>
  <c r="C15" i="3"/>
  <c r="E14" i="3"/>
  <c r="J20" i="7" l="1"/>
  <c r="C22" i="7"/>
  <c r="I21" i="7"/>
  <c r="H21" i="7"/>
  <c r="J21" i="7" s="1"/>
  <c r="E21" i="7"/>
  <c r="D21" i="7"/>
  <c r="F20" i="7"/>
  <c r="L20" i="7"/>
  <c r="N20" i="7" s="1"/>
  <c r="M20" i="7"/>
  <c r="F14" i="3"/>
  <c r="D15" i="3"/>
  <c r="C16" i="3"/>
  <c r="E15" i="3"/>
  <c r="L21" i="7" l="1"/>
  <c r="M21" i="7" s="1"/>
  <c r="N21" i="7" s="1"/>
  <c r="F21" i="7"/>
  <c r="D22" i="7"/>
  <c r="C23" i="7"/>
  <c r="H22" i="7"/>
  <c r="E22" i="7"/>
  <c r="F15" i="3"/>
  <c r="C17" i="3"/>
  <c r="E16" i="3"/>
  <c r="D16" i="3"/>
  <c r="H23" i="7" l="1"/>
  <c r="E23" i="7"/>
  <c r="D23" i="7"/>
  <c r="C24" i="7"/>
  <c r="I23" i="7"/>
  <c r="J23" i="7" s="1"/>
  <c r="L22" i="7"/>
  <c r="M22" i="7" s="1"/>
  <c r="N22" i="7" s="1"/>
  <c r="F22" i="7"/>
  <c r="I22" i="7"/>
  <c r="J22" i="7" s="1"/>
  <c r="F16" i="3"/>
  <c r="E17" i="3"/>
  <c r="D17" i="3"/>
  <c r="C18" i="3"/>
  <c r="C25" i="7" l="1"/>
  <c r="D24" i="7"/>
  <c r="E24" i="7"/>
  <c r="H24" i="7"/>
  <c r="F23" i="7"/>
  <c r="M23" i="7"/>
  <c r="N23" i="7" s="1"/>
  <c r="L23" i="7"/>
  <c r="F17" i="3"/>
  <c r="C19" i="3"/>
  <c r="E18" i="3"/>
  <c r="D18" i="3"/>
  <c r="L24" i="7" l="1"/>
  <c r="F24" i="7"/>
  <c r="M24" i="7"/>
  <c r="N24" i="7" s="1"/>
  <c r="I24" i="7"/>
  <c r="J24" i="7" s="1"/>
  <c r="E25" i="7"/>
  <c r="D25" i="7"/>
  <c r="H25" i="7"/>
  <c r="J25" i="7" s="1"/>
  <c r="C26" i="7"/>
  <c r="I25" i="7"/>
  <c r="C20" i="3"/>
  <c r="E19" i="3"/>
  <c r="D19" i="3"/>
  <c r="F18" i="3"/>
  <c r="C27" i="7" l="1"/>
  <c r="H26" i="7"/>
  <c r="I26" i="7" s="1"/>
  <c r="D26" i="7"/>
  <c r="E26" i="7"/>
  <c r="M25" i="7"/>
  <c r="N25" i="7" s="1"/>
  <c r="F25" i="7"/>
  <c r="L25" i="7"/>
  <c r="F19" i="3"/>
  <c r="E20" i="3"/>
  <c r="D20" i="3"/>
  <c r="C21" i="3"/>
  <c r="F26" i="7" l="1"/>
  <c r="L26" i="7"/>
  <c r="N26" i="7" s="1"/>
  <c r="M26" i="7"/>
  <c r="J26" i="7"/>
  <c r="H27" i="7"/>
  <c r="J27" i="7" s="1"/>
  <c r="I27" i="7"/>
  <c r="E27" i="7"/>
  <c r="D27" i="7"/>
  <c r="C28" i="7"/>
  <c r="F20" i="3"/>
  <c r="C22" i="3"/>
  <c r="E21" i="3"/>
  <c r="D21" i="3"/>
  <c r="E28" i="7" l="1"/>
  <c r="D28" i="7"/>
  <c r="C29" i="7"/>
  <c r="H28" i="7"/>
  <c r="I28" i="7" s="1"/>
  <c r="L27" i="7"/>
  <c r="F27" i="7"/>
  <c r="D22" i="3"/>
  <c r="C23" i="3"/>
  <c r="E22" i="3"/>
  <c r="F21" i="3"/>
  <c r="M27" i="7" l="1"/>
  <c r="N27" i="7" s="1"/>
  <c r="J28" i="7"/>
  <c r="C30" i="7"/>
  <c r="H29" i="7"/>
  <c r="E29" i="7"/>
  <c r="D29" i="7"/>
  <c r="F28" i="7"/>
  <c r="L28" i="7"/>
  <c r="F22" i="3"/>
  <c r="D23" i="3"/>
  <c r="E23" i="3"/>
  <c r="C24" i="3"/>
  <c r="I29" i="7" l="1"/>
  <c r="J29" i="7" s="1"/>
  <c r="M28" i="7"/>
  <c r="N28" i="7" s="1"/>
  <c r="D30" i="7"/>
  <c r="C31" i="7"/>
  <c r="H30" i="7"/>
  <c r="E30" i="7"/>
  <c r="F29" i="7"/>
  <c r="L29" i="7"/>
  <c r="C25" i="3"/>
  <c r="D24" i="3"/>
  <c r="E24" i="3"/>
  <c r="F23" i="3"/>
  <c r="I30" i="7" l="1"/>
  <c r="J30" i="7" s="1"/>
  <c r="M29" i="7"/>
  <c r="N29" i="7" s="1"/>
  <c r="H31" i="7"/>
  <c r="E31" i="7"/>
  <c r="I31" i="7"/>
  <c r="J31" i="7" s="1"/>
  <c r="D31" i="7"/>
  <c r="C32" i="7"/>
  <c r="L30" i="7"/>
  <c r="F30" i="7"/>
  <c r="E25" i="3"/>
  <c r="D25" i="3"/>
  <c r="C26" i="3"/>
  <c r="F24" i="3"/>
  <c r="F31" i="7" l="1"/>
  <c r="L31" i="7"/>
  <c r="M31" i="7" s="1"/>
  <c r="M30" i="7"/>
  <c r="N30" i="7" s="1"/>
  <c r="C33" i="7"/>
  <c r="H32" i="7"/>
  <c r="I32" i="7" s="1"/>
  <c r="J32" i="7" s="1"/>
  <c r="E32" i="7"/>
  <c r="D32" i="7"/>
  <c r="C27" i="3"/>
  <c r="E26" i="3"/>
  <c r="D26" i="3"/>
  <c r="F25" i="3"/>
  <c r="N31" i="7" l="1"/>
  <c r="E33" i="7"/>
  <c r="D33" i="7"/>
  <c r="C34" i="7"/>
  <c r="H33" i="7"/>
  <c r="L32" i="7"/>
  <c r="F32" i="7"/>
  <c r="F26" i="3"/>
  <c r="C28" i="3"/>
  <c r="E27" i="3"/>
  <c r="D27" i="3"/>
  <c r="C35" i="7" l="1"/>
  <c r="H34" i="7"/>
  <c r="I34" i="7" s="1"/>
  <c r="J34" i="7" s="1"/>
  <c r="E34" i="7"/>
  <c r="D34" i="7"/>
  <c r="M32" i="7"/>
  <c r="N32" i="7" s="1"/>
  <c r="L33" i="7"/>
  <c r="F33" i="7"/>
  <c r="I33" i="7"/>
  <c r="J33" i="7" s="1"/>
  <c r="F27" i="3"/>
  <c r="E28" i="3"/>
  <c r="D28" i="3"/>
  <c r="C29" i="3"/>
  <c r="M33" i="7" l="1"/>
  <c r="N33" i="7" s="1"/>
  <c r="F34" i="7"/>
  <c r="L34" i="7"/>
  <c r="C36" i="7"/>
  <c r="H35" i="7"/>
  <c r="I35" i="7" s="1"/>
  <c r="J35" i="7" s="1"/>
  <c r="D35" i="7"/>
  <c r="E35" i="7"/>
  <c r="C30" i="3"/>
  <c r="E29" i="3"/>
  <c r="D29" i="3"/>
  <c r="F28" i="3"/>
  <c r="E36" i="7" l="1"/>
  <c r="D36" i="7"/>
  <c r="C37" i="7"/>
  <c r="H36" i="7"/>
  <c r="M34" i="7"/>
  <c r="N34" i="7" s="1"/>
  <c r="L35" i="7"/>
  <c r="M35" i="7" s="1"/>
  <c r="N35" i="7" s="1"/>
  <c r="F35" i="7"/>
  <c r="F29" i="3"/>
  <c r="D30" i="3"/>
  <c r="C31" i="3"/>
  <c r="E30" i="3"/>
  <c r="C38" i="7" l="1"/>
  <c r="I37" i="7"/>
  <c r="H37" i="7"/>
  <c r="J37" i="7" s="1"/>
  <c r="E37" i="7"/>
  <c r="D37" i="7"/>
  <c r="I36" i="7"/>
  <c r="J36" i="7" s="1"/>
  <c r="F36" i="7"/>
  <c r="L36" i="7"/>
  <c r="F30" i="3"/>
  <c r="E31" i="3"/>
  <c r="D31" i="3"/>
  <c r="C32" i="3"/>
  <c r="F37" i="7" l="1"/>
  <c r="L37" i="7"/>
  <c r="M36" i="7"/>
  <c r="N36" i="7" s="1"/>
  <c r="D38" i="7"/>
  <c r="C39" i="7"/>
  <c r="H38" i="7"/>
  <c r="I38" i="7" s="1"/>
  <c r="J38" i="7" s="1"/>
  <c r="E38" i="7"/>
  <c r="C33" i="3"/>
  <c r="E32" i="3"/>
  <c r="D32" i="3"/>
  <c r="F31" i="3"/>
  <c r="M37" i="7" l="1"/>
  <c r="N37" i="7" s="1"/>
  <c r="M38" i="7"/>
  <c r="N38" i="7" s="1"/>
  <c r="L38" i="7"/>
  <c r="F38" i="7"/>
  <c r="H39" i="7"/>
  <c r="D39" i="7"/>
  <c r="E39" i="7"/>
  <c r="C40" i="7"/>
  <c r="F32" i="3"/>
  <c r="E33" i="3"/>
  <c r="D33" i="3"/>
  <c r="C34" i="3"/>
  <c r="H40" i="7" l="1"/>
  <c r="J40" i="7" s="1"/>
  <c r="C41" i="7"/>
  <c r="I40" i="7"/>
  <c r="E40" i="7"/>
  <c r="D40" i="7"/>
  <c r="I39" i="7"/>
  <c r="J39" i="7" s="1"/>
  <c r="F39" i="7"/>
  <c r="L39" i="7"/>
  <c r="C35" i="3"/>
  <c r="E34" i="3"/>
  <c r="D34" i="3"/>
  <c r="F33" i="3"/>
  <c r="E41" i="7" l="1"/>
  <c r="D41" i="7"/>
  <c r="C42" i="7"/>
  <c r="H41" i="7"/>
  <c r="M39" i="7"/>
  <c r="N39" i="7" s="1"/>
  <c r="L40" i="7"/>
  <c r="F40" i="7"/>
  <c r="M40" i="7"/>
  <c r="N40" i="7" s="1"/>
  <c r="F34" i="3"/>
  <c r="C36" i="3"/>
  <c r="D35" i="3"/>
  <c r="E35" i="3"/>
  <c r="C43" i="7" l="1"/>
  <c r="H42" i="7"/>
  <c r="I42" i="7" s="1"/>
  <c r="J42" i="7" s="1"/>
  <c r="E42" i="7"/>
  <c r="D42" i="7"/>
  <c r="I41" i="7"/>
  <c r="J41" i="7" s="1"/>
  <c r="L41" i="7"/>
  <c r="F41" i="7"/>
  <c r="D36" i="3"/>
  <c r="E36" i="3"/>
  <c r="C37" i="3"/>
  <c r="F35" i="3"/>
  <c r="F42" i="7" l="1"/>
  <c r="L42" i="7"/>
  <c r="M41" i="7"/>
  <c r="N41" i="7" s="1"/>
  <c r="C44" i="7"/>
  <c r="H43" i="7"/>
  <c r="I43" i="7" s="1"/>
  <c r="J43" i="7" s="1"/>
  <c r="E43" i="7"/>
  <c r="D43" i="7"/>
  <c r="C38" i="3"/>
  <c r="E37" i="3"/>
  <c r="D37" i="3"/>
  <c r="F36" i="3"/>
  <c r="E44" i="7" l="1"/>
  <c r="D44" i="7"/>
  <c r="H44" i="7"/>
  <c r="I44" i="7" s="1"/>
  <c r="L43" i="7"/>
  <c r="F43" i="7"/>
  <c r="M42" i="7"/>
  <c r="N42" i="7" s="1"/>
  <c r="F37" i="3"/>
  <c r="D38" i="3"/>
  <c r="C39" i="3"/>
  <c r="E38" i="3"/>
  <c r="M43" i="7" l="1"/>
  <c r="N43" i="7" s="1"/>
  <c r="J44" i="7"/>
  <c r="F44" i="7"/>
  <c r="L44" i="7"/>
  <c r="M44" i="7" s="1"/>
  <c r="E39" i="3"/>
  <c r="D39" i="3"/>
  <c r="C40" i="3"/>
  <c r="F38" i="3"/>
  <c r="N44" i="7" l="1"/>
  <c r="C41" i="3"/>
  <c r="E40" i="3"/>
  <c r="D40" i="3"/>
  <c r="F39" i="3"/>
  <c r="F40" i="3" l="1"/>
  <c r="E41" i="3"/>
  <c r="D41" i="3"/>
  <c r="C42" i="3"/>
  <c r="F41" i="3" l="1"/>
  <c r="C43" i="3"/>
  <c r="E42" i="3"/>
  <c r="D42" i="3"/>
  <c r="F42" i="3" l="1"/>
  <c r="C44" i="3"/>
  <c r="E43" i="3"/>
  <c r="D43" i="3"/>
  <c r="F43" i="3" l="1"/>
  <c r="D44" i="3"/>
  <c r="E44" i="3"/>
  <c r="F44" i="3" l="1"/>
  <c r="K8" i="11"/>
  <c r="W8" i="11"/>
  <c r="J9" i="11"/>
  <c r="F13" i="11"/>
  <c r="H13" i="11"/>
  <c r="R13" i="11"/>
  <c r="T13" i="11"/>
  <c r="F15" i="11"/>
  <c r="H15" i="11"/>
  <c r="R15" i="11"/>
  <c r="T15" i="11"/>
  <c r="F19" i="11"/>
  <c r="H19" i="11"/>
  <c r="R19" i="11"/>
  <c r="T19" i="11"/>
  <c r="F22" i="11"/>
  <c r="H22" i="11"/>
  <c r="R22" i="11"/>
  <c r="T22" i="11"/>
  <c r="F25" i="11"/>
  <c r="H25" i="11"/>
  <c r="R25" i="11"/>
  <c r="T25" i="11"/>
  <c r="H29" i="11"/>
  <c r="T29" i="11"/>
  <c r="F31" i="11"/>
  <c r="H31" i="11"/>
  <c r="U31" i="11"/>
  <c r="F34" i="11"/>
  <c r="H34" i="11"/>
  <c r="R34" i="11"/>
  <c r="T34" i="11"/>
  <c r="F38" i="11"/>
  <c r="R38" i="11"/>
</calcChain>
</file>

<file path=xl/sharedStrings.xml><?xml version="1.0" encoding="utf-8"?>
<sst xmlns="http://schemas.openxmlformats.org/spreadsheetml/2006/main" count="303" uniqueCount="153">
  <si>
    <t>Change 2019 to 2020</t>
  </si>
  <si>
    <t>Defined Compensation</t>
  </si>
  <si>
    <t>A1</t>
  </si>
  <si>
    <t>Base Salary</t>
  </si>
  <si>
    <t>A2</t>
  </si>
  <si>
    <t xml:space="preserve">     (FICA-yes, income tax exempt)</t>
  </si>
  <si>
    <t>A3</t>
  </si>
  <si>
    <t>A4</t>
  </si>
  <si>
    <t>B1</t>
  </si>
  <si>
    <t>B2</t>
  </si>
  <si>
    <t>B3</t>
  </si>
  <si>
    <t>B4</t>
  </si>
  <si>
    <t>2018 Budget Total Comp + Benefits = $86,230</t>
  </si>
  <si>
    <t>Additional Considerations</t>
  </si>
  <si>
    <t>A5</t>
  </si>
  <si>
    <t>Pension (10% * A5)</t>
  </si>
  <si>
    <t>C1</t>
  </si>
  <si>
    <t>C2</t>
  </si>
  <si>
    <t>C3</t>
  </si>
  <si>
    <t>C4</t>
  </si>
  <si>
    <t>Additional Compensation</t>
  </si>
  <si>
    <t>Annuities, Additional Pension</t>
  </si>
  <si>
    <t>Other Compensation</t>
  </si>
  <si>
    <t>Currently Monthly</t>
  </si>
  <si>
    <t>Next year- low monthly</t>
  </si>
  <si>
    <t>Next year - high monthly</t>
  </si>
  <si>
    <t>Total Defined Compensation (A1+A2+A3+A4)</t>
  </si>
  <si>
    <t>ELCA Pension &amp; Benefits</t>
  </si>
  <si>
    <t>Other Reimbursements</t>
  </si>
  <si>
    <t>Business/Professional</t>
  </si>
  <si>
    <t>Continuing Edudation</t>
  </si>
  <si>
    <t>Books/Subscriptions</t>
  </si>
  <si>
    <t>Other _______</t>
  </si>
  <si>
    <t>D1</t>
  </si>
  <si>
    <t>D2</t>
  </si>
  <si>
    <t>D3</t>
  </si>
  <si>
    <t>D4</t>
  </si>
  <si>
    <t>D5</t>
  </si>
  <si>
    <t xml:space="preserve">       (7.65% of A1+A2+A3)</t>
  </si>
  <si>
    <t>Current Year</t>
  </si>
  <si>
    <t>This sheet shows</t>
  </si>
  <si>
    <t>Years of Experience</t>
  </si>
  <si>
    <t>Year of Ordination</t>
  </si>
  <si>
    <t>Low</t>
  </si>
  <si>
    <t>% Increase</t>
  </si>
  <si>
    <t>High with Ratable % Difference</t>
  </si>
  <si>
    <t>% Difference</t>
  </si>
  <si>
    <t>Year</t>
  </si>
  <si>
    <t>Calcuation</t>
  </si>
  <si>
    <t>Calculation</t>
  </si>
  <si>
    <t>Graduate</t>
  </si>
  <si>
    <t>=(.0409-.023)/40</t>
  </si>
  <si>
    <t>=(.02-.034)/40</t>
  </si>
  <si>
    <t>increase in Graduate (Year 0)  2022 to 2023</t>
  </si>
  <si>
    <t>Ratable % Difference Low to High</t>
  </si>
  <si>
    <t>Ratable % Increase with increased years</t>
  </si>
  <si>
    <t>Guidelines for 2023 reflect a 4.5% increase over the 2022 base for a new graduate</t>
  </si>
  <si>
    <t>Next year - custom monthly</t>
  </si>
  <si>
    <t>Value of Parsonage (30% of A1)</t>
  </si>
  <si>
    <t>FICA Reimbursement</t>
  </si>
  <si>
    <t>Automobile/Mileage     www.irs.gov</t>
  </si>
  <si>
    <t>Enter all other amounts applicable in the grey boxes.  If the category does not apply, simply leave the box empty</t>
  </si>
  <si>
    <t>Portico amounts</t>
  </si>
  <si>
    <t>Contact Portico Benefit Services (online calculator is available).  Enter the amounts for Health Insurance and Disability/Other Insurance in the Blue Boxes.  The amounts are based on total defined compensation.</t>
  </si>
  <si>
    <t>formula driven</t>
  </si>
  <si>
    <t>Directions for using the Compensation &amp; Benefit Worksheet</t>
  </si>
  <si>
    <t>Weeks of Vacation / Sundays of Vacation</t>
  </si>
  <si>
    <t>Next Year - Custom 1</t>
  </si>
  <si>
    <t>Next Year - Custom 2</t>
  </si>
  <si>
    <t>Enter the year of Ordination in the yellow box (The formulas will not work for pastor ordained more than 40 years ago.  You will need to use custom amounts.)</t>
  </si>
  <si>
    <t>All other cells will update as information is entered or changed.  The cells are locked.</t>
  </si>
  <si>
    <t>40+</t>
  </si>
  <si>
    <t>add $500 per year of service</t>
  </si>
  <si>
    <t>1982 &amp; earlier</t>
  </si>
  <si>
    <t>increase in Year 0 with a standardized declining difference using the Ratable % calculated from 4.09% to 2.3% and Ratable Increase calculated from 1.8% to .34%</t>
  </si>
  <si>
    <t>Housing 50% Low</t>
  </si>
  <si>
    <t>Social Security 7.65% Low</t>
  </si>
  <si>
    <t>Total Defined Compensation Low</t>
  </si>
  <si>
    <t>Housing 50% High</t>
  </si>
  <si>
    <t>Social Security 7.65% High</t>
  </si>
  <si>
    <t>Total Defined Compensation High</t>
  </si>
  <si>
    <t>Ratable % Difference</t>
  </si>
  <si>
    <t>Ratable % Increase</t>
  </si>
  <si>
    <r>
      <t xml:space="preserve">Housing Equity (minimum </t>
    </r>
    <r>
      <rPr>
        <b/>
        <u/>
        <sz val="12"/>
        <color theme="1"/>
        <rFont val="Times New Roman"/>
        <family val="1"/>
      </rPr>
      <t>$1800</t>
    </r>
    <r>
      <rPr>
        <b/>
        <sz val="12"/>
        <color theme="1"/>
        <rFont val="Times New Roman"/>
        <family val="1"/>
      </rPr>
      <t xml:space="preserve"> annual)</t>
    </r>
  </si>
  <si>
    <t xml:space="preserve">      increase in Year 0 with a standardized declining difference using the Ratable % calculated from 4.09% to 2.3% and Ratable Increase calculated from 1.8% to .34%</t>
  </si>
  <si>
    <t>Disability/Other -0.5% of A5</t>
  </si>
  <si>
    <t>Sabbath Day</t>
  </si>
  <si>
    <t xml:space="preserve"> 5.0%</t>
  </si>
  <si>
    <t>C5</t>
  </si>
  <si>
    <t>Total Additional Compensation (B1+B2)</t>
  </si>
  <si>
    <t>Total Pension and Benefits (C1+C2+C3+C4)</t>
  </si>
  <si>
    <t>TOTAL COMPENSATION &amp; BENEFITS  (A5+B4+C5)</t>
  </si>
  <si>
    <t>Pension Contribution if more than 10%</t>
  </si>
  <si>
    <t>If Parttime (% of base)</t>
  </si>
  <si>
    <t>Pension (minimum 10% * A5)</t>
  </si>
  <si>
    <t>Housing Equity Contribution</t>
  </si>
  <si>
    <t>E1</t>
  </si>
  <si>
    <t>E2</t>
  </si>
  <si>
    <t>Current Monthly</t>
  </si>
  <si>
    <t xml:space="preserve"> Compensation Calculator EXAMPLE</t>
  </si>
  <si>
    <t>Minister Compensation Calculator</t>
  </si>
  <si>
    <t>year of ordination</t>
  </si>
  <si>
    <t>If the minister is serving a less than full time (part-time) call, enter the % of base to be used</t>
  </si>
  <si>
    <t>% of fulltime</t>
  </si>
  <si>
    <t>If the Pension contribution is more than 10%, enter the % of defined compensation to be used.</t>
  </si>
  <si>
    <t>Pension %</t>
  </si>
  <si>
    <t>Additional Considerations (multi point, large congregation etc.)</t>
  </si>
  <si>
    <t>enter custom amounts</t>
  </si>
  <si>
    <t>When there is a parsonage, Portico values the parsonage &amp; expenses at 30% of base salary</t>
  </si>
  <si>
    <t>Next Year - Low Guideline</t>
  </si>
  <si>
    <t>Next Year - High Guideline</t>
  </si>
  <si>
    <t>NO Parsonage - Housing Allowance</t>
  </si>
  <si>
    <t xml:space="preserve">Parsonage Provided &amp; Housing Equity Allowance </t>
  </si>
  <si>
    <t>Candidate - Year Ordained</t>
  </si>
  <si>
    <t>Housing Allowance % of Base</t>
  </si>
  <si>
    <t>Parsonage valued at 30% of Base Salary</t>
  </si>
  <si>
    <t>Housing Equity Allowance - minimum $1800 annually</t>
  </si>
  <si>
    <t>per month</t>
  </si>
  <si>
    <t>Annual</t>
  </si>
  <si>
    <t>check</t>
  </si>
  <si>
    <t>T1</t>
  </si>
  <si>
    <t>Total Compensation Package</t>
  </si>
  <si>
    <t>Health Insurance **</t>
  </si>
  <si>
    <t>Disability / Basic Group Life</t>
  </si>
  <si>
    <t xml:space="preserve">Retirement / Pension </t>
  </si>
  <si>
    <t>Housing Equity Allowance</t>
  </si>
  <si>
    <t>TOTAL COST OF BENEFITS</t>
  </si>
  <si>
    <t>Amount Available for DEFINED COMPENSATION</t>
  </si>
  <si>
    <t>FICA Reimbursement (7.65%)</t>
  </si>
  <si>
    <t>Amount for Base Salary &amp; Housing Allowance</t>
  </si>
  <si>
    <t xml:space="preserve">Housing Allowance </t>
  </si>
  <si>
    <t>Value of Parsonage - NOT cash expense for Payroll</t>
  </si>
  <si>
    <t xml:space="preserve">  (FICA-yes, income tax exempt)</t>
  </si>
  <si>
    <t>BASE SALARY</t>
  </si>
  <si>
    <t>Guideline for Candidate</t>
  </si>
  <si>
    <t>Salary Available as % of Guideline</t>
  </si>
  <si>
    <t>**</t>
  </si>
  <si>
    <t>Need to start with "close" salary &amp; age to determine health cost.  
For low compensation calls, the "minimum" premium will most likely apply.  ($500-960/month) 
Each "extra" is an equal insurance premium
The age of pastor is key to premium (11.5-22.5% range)</t>
  </si>
  <si>
    <t>na</t>
  </si>
  <si>
    <r>
      <t xml:space="preserve">This example is for pastor ordained in 2008 (born 1980).  Portico values a parsonage at 30% of Base Salary  The minister is married and the health insurance is for an employee+spouse at the </t>
    </r>
    <r>
      <rPr>
        <b/>
        <sz val="14"/>
        <color theme="1"/>
        <rFont val="Times New Roman"/>
        <family val="1"/>
      </rPr>
      <t>Select Copay2000</t>
    </r>
    <r>
      <rPr>
        <sz val="14"/>
        <color theme="1"/>
        <rFont val="Times New Roman"/>
        <family val="1"/>
      </rPr>
      <t xml:space="preserve"> level</t>
    </r>
  </si>
  <si>
    <r>
      <t xml:space="preserve">Custom 1- </t>
    </r>
    <r>
      <rPr>
        <b/>
        <u/>
        <sz val="20"/>
        <color theme="1"/>
        <rFont val="Times New Roman"/>
        <family val="1"/>
      </rPr>
      <t>LOW</t>
    </r>
  </si>
  <si>
    <r>
      <t xml:space="preserve">Custom 2 - </t>
    </r>
    <r>
      <rPr>
        <b/>
        <u/>
        <sz val="20"/>
        <color theme="1"/>
        <rFont val="Times New Roman"/>
        <family val="1"/>
      </rPr>
      <t>HIGH</t>
    </r>
  </si>
  <si>
    <t>Custom 3 - LOW</t>
  </si>
  <si>
    <t>custom 1 monthly</t>
  </si>
  <si>
    <t>custom 3 monthly</t>
  </si>
  <si>
    <r>
      <t xml:space="preserve">Part-time Ministry  
ordained 2015 (born 1988)
Health Ins is for only the pastor 
</t>
    </r>
    <r>
      <rPr>
        <b/>
        <sz val="14"/>
        <color theme="1"/>
        <rFont val="Times New Roman"/>
        <family val="1"/>
      </rPr>
      <t>Select HDHP2000 &amp; $500 HSA</t>
    </r>
    <r>
      <rPr>
        <sz val="14"/>
        <color theme="1"/>
        <rFont val="Times New Roman"/>
        <family val="1"/>
      </rPr>
      <t xml:space="preserve">
pension increased to 12%</t>
    </r>
  </si>
  <si>
    <t xml:space="preserve"> Low</t>
  </si>
  <si>
    <t>High</t>
  </si>
  <si>
    <r>
      <t xml:space="preserve">Pastor ordained in 2020 (born 1993).  
Low Range of Salary
 Health Ins is for only the pastor &amp; </t>
    </r>
    <r>
      <rPr>
        <b/>
        <sz val="14"/>
        <color theme="1"/>
        <rFont val="Times New Roman"/>
        <family val="1"/>
      </rPr>
      <t>Select HDHP2000 &amp; $500 HSA</t>
    </r>
  </si>
  <si>
    <r>
      <t xml:space="preserve">Pastor ordained in 2015 (born 1988).  High Range of Salary  
Health Ins is for only the pastor &amp; Select </t>
    </r>
    <r>
      <rPr>
        <b/>
        <sz val="14"/>
        <color theme="1"/>
        <rFont val="Times New Roman"/>
        <family val="1"/>
      </rPr>
      <t>HDHP2000 &amp; $500 HSA</t>
    </r>
    <r>
      <rPr>
        <sz val="14"/>
        <color theme="1"/>
        <rFont val="Times New Roman"/>
        <family val="1"/>
      </rPr>
      <t>.  
Add 2 point parish</t>
    </r>
  </si>
  <si>
    <r>
      <t xml:space="preserve">Health Ins (with HSA) - </t>
    </r>
    <r>
      <rPr>
        <b/>
        <u/>
        <sz val="12"/>
        <color theme="1"/>
        <rFont val="Times New Roman"/>
        <family val="1"/>
      </rPr>
      <t>check with Portico</t>
    </r>
  </si>
  <si>
    <t>Health Ins (with HSA if applicable) - 
check with Portico</t>
  </si>
  <si>
    <t>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</si>
</sst>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%"/>
    <numFmt numFmtId="167" formatCode="_(\$* #,##0.00_);_(\$* \(#,##0.00\);_(\$* \-??_);_(@_)"/>
    <numFmt numFmtId="168" formatCode="_(\$* #,##0_);_(\$* \(#,##0\);_(\$* \-??_);_(@_)"/>
    <numFmt numFmtId="169" formatCode="0.000%"/>
    <numFmt numFmtId="170" formatCode="0.0000000%"/>
    <numFmt numFmtId="171" formatCode="0.0000%"/>
    <numFmt numFmtId="172" formatCode="_(&quot;$&quot;* #,##0_);_(&quot;$&quot;* \(#,##0\);_(&quot;$&quot;* &quot;-&quot;??_);_(@_)"/>
    <numFmt numFmtId="173" formatCode="_(* #,##0.00000_);_(* \(#,##0.00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indexed="8"/>
      <name val="Calibri"/>
      <family val="2"/>
      <charset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i/>
      <sz val="14"/>
      <color theme="1"/>
      <name val="Times New Roman"/>
      <family val="1"/>
    </font>
    <font>
      <sz val="16"/>
      <color theme="1"/>
      <name val="Times New Roman"/>
      <family val="1"/>
    </font>
    <font>
      <b/>
      <i/>
      <sz val="18"/>
      <color theme="1"/>
      <name val="Times New Roman"/>
      <family val="1"/>
    </font>
    <font>
      <u/>
      <sz val="12"/>
      <color theme="1"/>
      <name val="Times New Roman"/>
      <family val="1"/>
    </font>
    <font>
      <u/>
      <sz val="11"/>
      <color indexed="8"/>
      <name val="Times New Roman"/>
      <family val="1"/>
    </font>
    <font>
      <sz val="10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indexed="8"/>
      <name val="Calibri"/>
      <family val="2"/>
      <charset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sz val="18"/>
      <color indexed="8"/>
      <name val="Times New Roman"/>
      <family val="1"/>
    </font>
    <font>
      <i/>
      <sz val="16"/>
      <color theme="1"/>
      <name val="Times New Roman"/>
      <family val="1"/>
    </font>
    <font>
      <b/>
      <i/>
      <u/>
      <sz val="18"/>
      <color theme="1"/>
      <name val="Times New Roman"/>
      <family val="1"/>
    </font>
    <font>
      <u/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u/>
      <sz val="20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43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rgb="FFCC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A4D8"/>
        <bgColor indexed="64"/>
      </patternFill>
    </fill>
    <fill>
      <patternFill patternType="solid">
        <fgColor rgb="FFFBFAD8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8" tint="0.79995117038483843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0625">
        <bgColor theme="7" tint="0.79998168889431442"/>
      </patternFill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9" fontId="14" fillId="0" borderId="0"/>
    <xf numFmtId="167" fontId="14" fillId="0" borderId="0"/>
    <xf numFmtId="43" fontId="1" fillId="0" borderId="0" applyFont="0" applyFill="0" applyBorder="0" applyAlignment="0" applyProtection="0"/>
  </cellStyleXfs>
  <cellXfs count="316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164" fontId="11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164" fontId="4" fillId="0" borderId="3" xfId="0" applyNumberFormat="1" applyFont="1" applyBorder="1" applyAlignment="1">
      <alignment wrapText="1"/>
    </xf>
    <xf numFmtId="165" fontId="5" fillId="0" borderId="3" xfId="0" applyNumberFormat="1" applyFont="1" applyBorder="1" applyAlignment="1">
      <alignment wrapText="1"/>
    </xf>
    <xf numFmtId="165" fontId="5" fillId="0" borderId="4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left" wrapText="1"/>
    </xf>
    <xf numFmtId="165" fontId="5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3" fillId="0" borderId="0" xfId="0" applyFont="1" applyAlignment="1">
      <alignment wrapText="1"/>
    </xf>
    <xf numFmtId="164" fontId="13" fillId="0" borderId="0" xfId="0" applyNumberFormat="1" applyFont="1" applyAlignment="1">
      <alignment wrapText="1"/>
    </xf>
    <xf numFmtId="164" fontId="11" fillId="0" borderId="1" xfId="0" quotePrefix="1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5" fillId="0" borderId="0" xfId="3" applyFont="1"/>
    <xf numFmtId="0" fontId="16" fillId="0" borderId="0" xfId="3" applyFont="1" applyAlignment="1">
      <alignment vertical="center" wrapText="1"/>
    </xf>
    <xf numFmtId="168" fontId="17" fillId="3" borderId="0" xfId="5" applyNumberFormat="1" applyFont="1" applyFill="1"/>
    <xf numFmtId="168" fontId="16" fillId="0" borderId="0" xfId="5" applyNumberFormat="1" applyFont="1"/>
    <xf numFmtId="168" fontId="16" fillId="3" borderId="0" xfId="5" applyNumberFormat="1" applyFont="1" applyFill="1"/>
    <xf numFmtId="10" fontId="15" fillId="0" borderId="0" xfId="4" applyNumberFormat="1" applyFont="1"/>
    <xf numFmtId="10" fontId="15" fillId="0" borderId="0" xfId="3" applyNumberFormat="1" applyFont="1"/>
    <xf numFmtId="169" fontId="15" fillId="0" borderId="0" xfId="4" applyNumberFormat="1" applyFont="1"/>
    <xf numFmtId="170" fontId="15" fillId="0" borderId="0" xfId="4" applyNumberFormat="1" applyFont="1"/>
    <xf numFmtId="10" fontId="16" fillId="0" borderId="0" xfId="4" applyNumberFormat="1" applyFont="1"/>
    <xf numFmtId="170" fontId="18" fillId="0" borderId="0" xfId="3" quotePrefix="1" applyNumberFormat="1" applyFont="1" applyAlignment="1">
      <alignment horizontal="right"/>
    </xf>
    <xf numFmtId="171" fontId="15" fillId="0" borderId="0" xfId="4" applyNumberFormat="1" applyFont="1"/>
    <xf numFmtId="0" fontId="18" fillId="0" borderId="0" xfId="3" quotePrefix="1" applyFont="1" applyAlignment="1">
      <alignment horizontal="right" indent="1"/>
    </xf>
    <xf numFmtId="0" fontId="15" fillId="4" borderId="0" xfId="3" applyFont="1" applyFill="1"/>
    <xf numFmtId="0" fontId="16" fillId="0" borderId="0" xfId="3" applyFont="1"/>
    <xf numFmtId="0" fontId="15" fillId="0" borderId="0" xfId="3" applyFont="1" applyAlignment="1">
      <alignment horizontal="center" vertical="center" wrapText="1"/>
    </xf>
    <xf numFmtId="0" fontId="19" fillId="0" borderId="0" xfId="3" applyFont="1"/>
    <xf numFmtId="0" fontId="21" fillId="0" borderId="0" xfId="0" applyFont="1" applyAlignment="1">
      <alignment wrapText="1"/>
    </xf>
    <xf numFmtId="164" fontId="2" fillId="0" borderId="3" xfId="0" applyNumberFormat="1" applyFont="1" applyBorder="1" applyAlignment="1">
      <alignment wrapText="1"/>
    </xf>
    <xf numFmtId="165" fontId="21" fillId="0" borderId="3" xfId="0" applyNumberFormat="1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12" fillId="0" borderId="0" xfId="0" applyFont="1" applyAlignment="1">
      <alignment wrapText="1"/>
    </xf>
    <xf numFmtId="165" fontId="3" fillId="0" borderId="0" xfId="1" applyNumberFormat="1" applyFont="1" applyAlignment="1">
      <alignment wrapText="1"/>
    </xf>
    <xf numFmtId="165" fontId="8" fillId="0" borderId="0" xfId="1" applyNumberFormat="1" applyFont="1" applyAlignment="1">
      <alignment wrapText="1"/>
    </xf>
    <xf numFmtId="165" fontId="5" fillId="0" borderId="0" xfId="1" applyNumberFormat="1" applyFont="1" applyAlignment="1">
      <alignment wrapText="1"/>
    </xf>
    <xf numFmtId="164" fontId="5" fillId="0" borderId="0" xfId="1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10" fillId="2" borderId="2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165" fontId="4" fillId="0" borderId="3" xfId="0" applyNumberFormat="1" applyFont="1" applyBorder="1" applyAlignment="1">
      <alignment wrapText="1"/>
    </xf>
    <xf numFmtId="165" fontId="2" fillId="0" borderId="0" xfId="0" applyNumberFormat="1" applyFont="1" applyAlignment="1">
      <alignment horizontal="center" wrapText="1"/>
    </xf>
    <xf numFmtId="165" fontId="10" fillId="0" borderId="0" xfId="0" applyNumberFormat="1" applyFont="1" applyAlignment="1">
      <alignment wrapText="1"/>
    </xf>
    <xf numFmtId="165" fontId="12" fillId="0" borderId="4" xfId="0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165" fontId="8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left" wrapText="1"/>
    </xf>
    <xf numFmtId="165" fontId="8" fillId="0" borderId="0" xfId="0" applyNumberFormat="1" applyFont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5" fontId="8" fillId="0" borderId="1" xfId="1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center" wrapText="1"/>
    </xf>
    <xf numFmtId="165" fontId="9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3" fillId="0" borderId="1" xfId="1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165" fontId="3" fillId="0" borderId="3" xfId="1" applyNumberFormat="1" applyFont="1" applyBorder="1" applyAlignment="1">
      <alignment wrapText="1"/>
    </xf>
    <xf numFmtId="165" fontId="3" fillId="0" borderId="3" xfId="0" applyNumberFormat="1" applyFont="1" applyBorder="1" applyAlignment="1">
      <alignment wrapText="1"/>
    </xf>
    <xf numFmtId="165" fontId="3" fillId="0" borderId="4" xfId="1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165" fontId="5" fillId="0" borderId="0" xfId="2" applyNumberFormat="1" applyFont="1" applyFill="1" applyAlignment="1">
      <alignment wrapText="1"/>
    </xf>
    <xf numFmtId="165" fontId="3" fillId="0" borderId="0" xfId="0" applyNumberFormat="1" applyFont="1" applyAlignment="1">
      <alignment horizontal="left" wrapText="1"/>
    </xf>
    <xf numFmtId="165" fontId="8" fillId="0" borderId="0" xfId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165" fontId="10" fillId="0" borderId="0" xfId="1" applyNumberFormat="1" applyFont="1" applyFill="1" applyAlignment="1">
      <alignment wrapText="1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7" borderId="0" xfId="3" applyFont="1" applyFill="1"/>
    <xf numFmtId="168" fontId="16" fillId="7" borderId="0" xfId="5" applyNumberFormat="1" applyFont="1" applyFill="1"/>
    <xf numFmtId="10" fontId="16" fillId="7" borderId="0" xfId="4" applyNumberFormat="1" applyFont="1" applyFill="1"/>
    <xf numFmtId="10" fontId="15" fillId="7" borderId="0" xfId="4" applyNumberFormat="1" applyFont="1" applyFill="1"/>
    <xf numFmtId="0" fontId="15" fillId="8" borderId="0" xfId="3" applyFont="1" applyFill="1"/>
    <xf numFmtId="10" fontId="15" fillId="8" borderId="0" xfId="3" applyNumberFormat="1" applyFont="1" applyFill="1"/>
    <xf numFmtId="10" fontId="15" fillId="7" borderId="0" xfId="3" applyNumberFormat="1" applyFont="1" applyFill="1"/>
    <xf numFmtId="0" fontId="16" fillId="0" borderId="0" xfId="3" applyFont="1" applyAlignment="1">
      <alignment horizontal="center" vertical="center" wrapText="1"/>
    </xf>
    <xf numFmtId="0" fontId="15" fillId="0" borderId="0" xfId="3" applyFont="1" applyAlignment="1">
      <alignment vertical="center"/>
    </xf>
    <xf numFmtId="164" fontId="7" fillId="0" borderId="0" xfId="1" applyNumberFormat="1" applyFont="1" applyBorder="1" applyAlignment="1">
      <alignment horizontal="center" wrapText="1"/>
    </xf>
    <xf numFmtId="165" fontId="5" fillId="0" borderId="0" xfId="1" applyNumberFormat="1" applyFont="1" applyBorder="1" applyAlignment="1">
      <alignment wrapText="1"/>
    </xf>
    <xf numFmtId="164" fontId="3" fillId="0" borderId="0" xfId="1" applyNumberFormat="1" applyFont="1" applyBorder="1" applyAlignment="1">
      <alignment wrapText="1"/>
    </xf>
    <xf numFmtId="164" fontId="8" fillId="0" borderId="0" xfId="1" applyNumberFormat="1" applyFont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7" fillId="0" borderId="0" xfId="1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165" fontId="10" fillId="2" borderId="2" xfId="0" applyNumberFormat="1" applyFont="1" applyFill="1" applyBorder="1" applyAlignment="1">
      <alignment wrapText="1"/>
    </xf>
    <xf numFmtId="166" fontId="24" fillId="3" borderId="0" xfId="4" applyNumberFormat="1" applyFont="1" applyFill="1" applyAlignment="1">
      <alignment horizontal="center" vertical="center"/>
    </xf>
    <xf numFmtId="164" fontId="25" fillId="0" borderId="0" xfId="0" applyNumberFormat="1" applyFont="1" applyAlignment="1">
      <alignment wrapText="1"/>
    </xf>
    <xf numFmtId="0" fontId="3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165" fontId="3" fillId="9" borderId="0" xfId="0" applyNumberFormat="1" applyFont="1" applyFill="1" applyAlignment="1">
      <alignment wrapText="1"/>
    </xf>
    <xf numFmtId="165" fontId="2" fillId="9" borderId="0" xfId="0" applyNumberFormat="1" applyFont="1" applyFill="1" applyAlignment="1">
      <alignment horizontal="center" wrapText="1"/>
    </xf>
    <xf numFmtId="165" fontId="21" fillId="0" borderId="0" xfId="0" applyNumberFormat="1" applyFont="1" applyAlignment="1">
      <alignment wrapText="1"/>
    </xf>
    <xf numFmtId="0" fontId="3" fillId="0" borderId="0" xfId="0" quotePrefix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" fontId="22" fillId="5" borderId="2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wrapText="1"/>
      <protection locked="0"/>
    </xf>
    <xf numFmtId="165" fontId="5" fillId="0" borderId="0" xfId="1" applyNumberFormat="1" applyFont="1" applyBorder="1" applyAlignment="1" applyProtection="1">
      <alignment wrapText="1"/>
      <protection locked="0"/>
    </xf>
    <xf numFmtId="165" fontId="3" fillId="9" borderId="0" xfId="0" applyNumberFormat="1" applyFont="1" applyFill="1" applyAlignment="1" applyProtection="1">
      <alignment wrapText="1"/>
      <protection locked="0"/>
    </xf>
    <xf numFmtId="165" fontId="12" fillId="0" borderId="0" xfId="0" applyNumberFormat="1" applyFont="1" applyAlignment="1" applyProtection="1">
      <alignment horizontal="right" wrapText="1"/>
      <protection locked="0"/>
    </xf>
    <xf numFmtId="165" fontId="3" fillId="0" borderId="0" xfId="1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165" fontId="5" fillId="0" borderId="0" xfId="0" applyNumberFormat="1" applyFont="1" applyAlignment="1" applyProtection="1">
      <alignment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wrapText="1"/>
      <protection locked="0"/>
    </xf>
    <xf numFmtId="165" fontId="12" fillId="0" borderId="1" xfId="0" applyNumberFormat="1" applyFont="1" applyBorder="1" applyAlignment="1" applyProtection="1">
      <alignment horizontal="right" wrapText="1"/>
      <protection locked="0"/>
    </xf>
    <xf numFmtId="165" fontId="3" fillId="0" borderId="1" xfId="1" applyNumberFormat="1" applyFont="1" applyBorder="1" applyAlignment="1" applyProtection="1">
      <alignment wrapText="1"/>
      <protection locked="0"/>
    </xf>
    <xf numFmtId="165" fontId="3" fillId="0" borderId="1" xfId="0" applyNumberFormat="1" applyFont="1" applyBorder="1" applyAlignment="1" applyProtection="1">
      <alignment wrapText="1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65" fontId="10" fillId="6" borderId="2" xfId="0" applyNumberFormat="1" applyFont="1" applyFill="1" applyBorder="1" applyAlignment="1" applyProtection="1">
      <alignment wrapText="1"/>
      <protection locked="0"/>
    </xf>
    <xf numFmtId="165" fontId="20" fillId="2" borderId="2" xfId="0" applyNumberFormat="1" applyFont="1" applyFill="1" applyBorder="1" applyAlignment="1" applyProtection="1">
      <alignment horizontal="right" wrapText="1"/>
      <protection locked="0"/>
    </xf>
    <xf numFmtId="164" fontId="5" fillId="0" borderId="0" xfId="1" applyNumberFormat="1" applyFont="1" applyBorder="1" applyAlignment="1" applyProtection="1">
      <alignment wrapText="1"/>
    </xf>
    <xf numFmtId="164" fontId="5" fillId="0" borderId="0" xfId="1" applyNumberFormat="1" applyFont="1" applyAlignment="1" applyProtection="1">
      <alignment wrapText="1"/>
    </xf>
    <xf numFmtId="1" fontId="22" fillId="10" borderId="2" xfId="0" applyNumberFormat="1" applyFont="1" applyFill="1" applyBorder="1" applyAlignment="1" applyProtection="1">
      <alignment horizontal="right" wrapText="1"/>
      <protection locked="0"/>
    </xf>
    <xf numFmtId="1" fontId="22" fillId="11" borderId="2" xfId="0" applyNumberFormat="1" applyFont="1" applyFill="1" applyBorder="1" applyAlignment="1" applyProtection="1">
      <alignment horizontal="right" wrapText="1"/>
      <protection locked="0"/>
    </xf>
    <xf numFmtId="0" fontId="15" fillId="0" borderId="0" xfId="3" applyFont="1" applyAlignment="1">
      <alignment vertical="center" wrapText="1"/>
    </xf>
    <xf numFmtId="166" fontId="27" fillId="2" borderId="0" xfId="4" applyNumberFormat="1" applyFont="1" applyFill="1" applyAlignment="1">
      <alignment horizontal="center" vertical="center"/>
    </xf>
    <xf numFmtId="0" fontId="15" fillId="0" borderId="0" xfId="3" applyFont="1" applyAlignment="1">
      <alignment horizontal="center" wrapText="1"/>
    </xf>
    <xf numFmtId="0" fontId="15" fillId="0" borderId="0" xfId="3" applyFont="1" applyAlignment="1">
      <alignment wrapText="1"/>
    </xf>
    <xf numFmtId="168" fontId="15" fillId="5" borderId="0" xfId="5" applyNumberFormat="1" applyFont="1" applyFill="1"/>
    <xf numFmtId="168" fontId="15" fillId="0" borderId="0" xfId="5" applyNumberFormat="1" applyFont="1"/>
    <xf numFmtId="168" fontId="15" fillId="12" borderId="0" xfId="5" applyNumberFormat="1" applyFont="1" applyFill="1"/>
    <xf numFmtId="168" fontId="15" fillId="2" borderId="0" xfId="3" applyNumberFormat="1" applyFont="1" applyFill="1"/>
    <xf numFmtId="168" fontId="15" fillId="13" borderId="0" xfId="3" applyNumberFormat="1" applyFont="1" applyFill="1"/>
    <xf numFmtId="168" fontId="15" fillId="12" borderId="0" xfId="3" applyNumberFormat="1" applyFont="1" applyFill="1"/>
    <xf numFmtId="168" fontId="15" fillId="0" borderId="0" xfId="3" applyNumberFormat="1" applyFont="1"/>
    <xf numFmtId="170" fontId="15" fillId="0" borderId="0" xfId="3" applyNumberFormat="1" applyFont="1"/>
    <xf numFmtId="0" fontId="15" fillId="14" borderId="0" xfId="3" applyFont="1" applyFill="1"/>
    <xf numFmtId="168" fontId="15" fillId="14" borderId="0" xfId="5" applyNumberFormat="1" applyFont="1" applyFill="1"/>
    <xf numFmtId="10" fontId="15" fillId="14" borderId="0" xfId="4" applyNumberFormat="1" applyFont="1" applyFill="1"/>
    <xf numFmtId="168" fontId="15" fillId="15" borderId="0" xfId="5" applyNumberFormat="1" applyFont="1" applyFill="1"/>
    <xf numFmtId="168" fontId="15" fillId="14" borderId="0" xfId="3" applyNumberFormat="1" applyFont="1" applyFill="1"/>
    <xf numFmtId="0" fontId="15" fillId="15" borderId="0" xfId="3" applyFont="1" applyFill="1"/>
    <xf numFmtId="10" fontId="15" fillId="15" borderId="0" xfId="3" applyNumberFormat="1" applyFont="1" applyFill="1"/>
    <xf numFmtId="10" fontId="15" fillId="14" borderId="0" xfId="3" applyNumberFormat="1" applyFont="1" applyFill="1"/>
    <xf numFmtId="0" fontId="15" fillId="0" borderId="0" xfId="3" applyFont="1" applyAlignment="1">
      <alignment horizontal="center"/>
    </xf>
    <xf numFmtId="0" fontId="28" fillId="0" borderId="0" xfId="3" applyFont="1" applyAlignment="1">
      <alignment horizontal="center" wrapText="1"/>
    </xf>
    <xf numFmtId="0" fontId="16" fillId="0" borderId="0" xfId="3" applyFont="1" applyAlignment="1">
      <alignment horizontal="center"/>
    </xf>
    <xf numFmtId="168" fontId="29" fillId="5" borderId="0" xfId="5" applyNumberFormat="1" applyFont="1" applyFill="1"/>
    <xf numFmtId="164" fontId="15" fillId="0" borderId="0" xfId="5" applyNumberFormat="1" applyFont="1"/>
    <xf numFmtId="168" fontId="15" fillId="16" borderId="0" xfId="3" applyNumberFormat="1" applyFont="1" applyFill="1"/>
    <xf numFmtId="168" fontId="28" fillId="0" borderId="0" xfId="5" applyNumberFormat="1" applyFont="1"/>
    <xf numFmtId="0" fontId="15" fillId="14" borderId="0" xfId="3" applyFont="1" applyFill="1" applyAlignment="1">
      <alignment horizontal="center"/>
    </xf>
    <xf numFmtId="168" fontId="28" fillId="14" borderId="0" xfId="5" applyNumberFormat="1" applyFont="1" applyFill="1"/>
    <xf numFmtId="164" fontId="15" fillId="15" borderId="0" xfId="5" applyNumberFormat="1" applyFont="1" applyFill="1"/>
    <xf numFmtId="0" fontId="15" fillId="4" borderId="0" xfId="3" applyFont="1" applyFill="1" applyAlignment="1">
      <alignment horizontal="center"/>
    </xf>
    <xf numFmtId="164" fontId="15" fillId="14" borderId="0" xfId="5" applyNumberFormat="1" applyFont="1" applyFill="1"/>
    <xf numFmtId="0" fontId="28" fillId="0" borderId="0" xfId="3" applyFont="1"/>
    <xf numFmtId="164" fontId="15" fillId="0" borderId="0" xfId="3" applyNumberFormat="1" applyFont="1"/>
    <xf numFmtId="164" fontId="15" fillId="12" borderId="0" xfId="5" applyNumberFormat="1" applyFont="1" applyFill="1"/>
    <xf numFmtId="164" fontId="15" fillId="0" borderId="0" xfId="3" applyNumberFormat="1" applyFont="1" applyAlignment="1">
      <alignment horizontal="center" wrapText="1"/>
    </xf>
    <xf numFmtId="0" fontId="30" fillId="0" borderId="0" xfId="3" quotePrefix="1" applyFont="1" applyAlignment="1">
      <alignment horizontal="center" vertical="center"/>
    </xf>
    <xf numFmtId="165" fontId="10" fillId="0" borderId="0" xfId="0" applyNumberFormat="1" applyFont="1" applyAlignment="1" applyProtection="1">
      <alignment wrapText="1"/>
      <protection locked="0"/>
    </xf>
    <xf numFmtId="165" fontId="3" fillId="0" borderId="0" xfId="1" applyNumberFormat="1" applyFont="1" applyBorder="1" applyAlignment="1" applyProtection="1">
      <alignment wrapText="1"/>
      <protection locked="0"/>
    </xf>
    <xf numFmtId="165" fontId="11" fillId="0" borderId="0" xfId="0" applyNumberFormat="1" applyFont="1" applyAlignment="1">
      <alignment wrapText="1"/>
    </xf>
    <xf numFmtId="165" fontId="3" fillId="0" borderId="0" xfId="1" applyNumberFormat="1" applyFont="1" applyBorder="1" applyAlignment="1">
      <alignment wrapText="1"/>
    </xf>
    <xf numFmtId="165" fontId="10" fillId="0" borderId="0" xfId="1" applyNumberFormat="1" applyFont="1" applyBorder="1" applyAlignment="1">
      <alignment wrapText="1"/>
    </xf>
    <xf numFmtId="165" fontId="10" fillId="12" borderId="0" xfId="0" applyNumberFormat="1" applyFont="1" applyFill="1" applyAlignment="1" applyProtection="1">
      <alignment horizontal="right"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165" fontId="12" fillId="0" borderId="3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wrapText="1"/>
    </xf>
    <xf numFmtId="165" fontId="21" fillId="5" borderId="2" xfId="0" applyNumberFormat="1" applyFont="1" applyFill="1" applyBorder="1" applyAlignment="1">
      <alignment horizontal="right" wrapText="1"/>
    </xf>
    <xf numFmtId="165" fontId="21" fillId="10" borderId="2" xfId="0" applyNumberFormat="1" applyFont="1" applyFill="1" applyBorder="1" applyAlignment="1" applyProtection="1">
      <alignment horizontal="right" wrapText="1"/>
      <protection locked="0"/>
    </xf>
    <xf numFmtId="165" fontId="31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vertical="center" wrapText="1"/>
    </xf>
    <xf numFmtId="1" fontId="22" fillId="17" borderId="2" xfId="0" applyNumberFormat="1" applyFont="1" applyFill="1" applyBorder="1" applyAlignment="1" applyProtection="1">
      <alignment horizontal="right" wrapText="1"/>
      <protection locked="0"/>
    </xf>
    <xf numFmtId="172" fontId="22" fillId="12" borderId="2" xfId="1" applyNumberFormat="1" applyFont="1" applyFill="1" applyBorder="1" applyAlignment="1" applyProtection="1">
      <alignment horizontal="right" wrapText="1"/>
      <protection locked="0"/>
    </xf>
    <xf numFmtId="9" fontId="22" fillId="8" borderId="2" xfId="2" applyFont="1" applyFill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9" fontId="22" fillId="18" borderId="2" xfId="2" applyFont="1" applyFill="1" applyBorder="1" applyAlignment="1" applyProtection="1">
      <alignment horizontal="right" wrapText="1"/>
      <protection locked="0"/>
    </xf>
    <xf numFmtId="9" fontId="22" fillId="0" borderId="0" xfId="2" applyFont="1" applyFill="1" applyBorder="1" applyAlignment="1" applyProtection="1">
      <alignment horizontal="right" wrapText="1"/>
      <protection locked="0"/>
    </xf>
    <xf numFmtId="9" fontId="22" fillId="0" borderId="0" xfId="2" applyFont="1" applyFill="1" applyBorder="1" applyAlignment="1">
      <alignment wrapText="1"/>
    </xf>
    <xf numFmtId="9" fontId="32" fillId="0" borderId="0" xfId="2" applyFont="1" applyFill="1" applyBorder="1" applyAlignment="1">
      <alignment wrapText="1"/>
    </xf>
    <xf numFmtId="164" fontId="5" fillId="0" borderId="0" xfId="1" applyNumberFormat="1" applyFont="1" applyFill="1" applyBorder="1" applyAlignment="1" applyProtection="1">
      <alignment vertical="center" wrapText="1"/>
    </xf>
    <xf numFmtId="0" fontId="3" fillId="9" borderId="0" xfId="0" applyFont="1" applyFill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5" borderId="0" xfId="0" applyFont="1" applyFill="1" applyAlignment="1">
      <alignment horizontal="center" vertical="top" wrapText="1"/>
    </xf>
    <xf numFmtId="9" fontId="3" fillId="19" borderId="0" xfId="0" applyNumberFormat="1" applyFont="1" applyFill="1" applyAlignment="1">
      <alignment horizontal="center" vertical="top" wrapText="1"/>
    </xf>
    <xf numFmtId="0" fontId="3" fillId="18" borderId="0" xfId="0" applyFont="1" applyFill="1" applyAlignment="1">
      <alignment horizontal="center" vertical="top" wrapText="1"/>
    </xf>
    <xf numFmtId="0" fontId="3" fillId="8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20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165" fontId="10" fillId="0" borderId="0" xfId="0" applyNumberFormat="1" applyFont="1" applyAlignment="1" applyProtection="1">
      <alignment horizontal="right" wrapText="1"/>
      <protection locked="0"/>
    </xf>
    <xf numFmtId="165" fontId="21" fillId="5" borderId="2" xfId="0" applyNumberFormat="1" applyFont="1" applyFill="1" applyBorder="1" applyAlignment="1" applyProtection="1">
      <alignment horizontal="right" wrapText="1"/>
      <protection locked="0"/>
    </xf>
    <xf numFmtId="165" fontId="21" fillId="0" borderId="2" xfId="0" applyNumberFormat="1" applyFont="1" applyBorder="1" applyAlignment="1">
      <alignment horizontal="right" wrapText="1"/>
    </xf>
    <xf numFmtId="165" fontId="31" fillId="5" borderId="2" xfId="0" applyNumberFormat="1" applyFont="1" applyFill="1" applyBorder="1" applyAlignment="1" applyProtection="1">
      <alignment horizontal="right" wrapText="1"/>
      <protection locked="0"/>
    </xf>
    <xf numFmtId="164" fontId="8" fillId="0" borderId="0" xfId="1" applyNumberFormat="1" applyFont="1" applyBorder="1" applyAlignment="1">
      <alignment vertical="center" wrapText="1"/>
    </xf>
    <xf numFmtId="0" fontId="2" fillId="9" borderId="0" xfId="0" applyFont="1" applyFill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4" fontId="21" fillId="17" borderId="2" xfId="1" applyFont="1" applyFill="1" applyBorder="1" applyAlignment="1" applyProtection="1">
      <alignment horizontal="right" wrapText="1"/>
      <protection locked="0"/>
    </xf>
    <xf numFmtId="165" fontId="21" fillId="11" borderId="2" xfId="0" applyNumberFormat="1" applyFont="1" applyFill="1" applyBorder="1" applyAlignment="1">
      <alignment horizontal="right" wrapText="1"/>
    </xf>
    <xf numFmtId="165" fontId="33" fillId="0" borderId="0" xfId="0" applyNumberFormat="1" applyFont="1"/>
    <xf numFmtId="165" fontId="33" fillId="21" borderId="0" xfId="0" applyNumberFormat="1" applyFont="1" applyFill="1"/>
    <xf numFmtId="0" fontId="10" fillId="22" borderId="2" xfId="0" applyFont="1" applyFill="1" applyBorder="1"/>
    <xf numFmtId="165" fontId="3" fillId="0" borderId="0" xfId="0" applyNumberFormat="1" applyFont="1"/>
    <xf numFmtId="165" fontId="3" fillId="21" borderId="0" xfId="0" applyNumberFormat="1" applyFont="1" applyFill="1"/>
    <xf numFmtId="166" fontId="4" fillId="23" borderId="2" xfId="2" applyNumberFormat="1" applyFont="1" applyFill="1" applyBorder="1" applyAlignment="1">
      <alignment horizontal="right" vertical="center" wrapText="1"/>
    </xf>
    <xf numFmtId="166" fontId="4" fillId="0" borderId="0" xfId="2" applyNumberFormat="1" applyFont="1" applyAlignment="1">
      <alignment horizontal="left" vertical="center" wrapText="1"/>
    </xf>
    <xf numFmtId="165" fontId="10" fillId="0" borderId="0" xfId="0" applyNumberFormat="1" applyFont="1"/>
    <xf numFmtId="165" fontId="10" fillId="21" borderId="0" xfId="0" applyNumberFormat="1" applyFont="1" applyFill="1"/>
    <xf numFmtId="165" fontId="34" fillId="0" borderId="0" xfId="0" applyNumberFormat="1" applyFont="1" applyAlignment="1">
      <alignment horizontal="center"/>
    </xf>
    <xf numFmtId="165" fontId="35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0" xfId="1" applyNumberFormat="1" applyFont="1"/>
    <xf numFmtId="165" fontId="2" fillId="5" borderId="2" xfId="1" applyNumberFormat="1" applyFont="1" applyFill="1" applyBorder="1"/>
    <xf numFmtId="165" fontId="36" fillId="0" borderId="0" xfId="0" applyNumberFormat="1" applyFont="1" applyAlignment="1">
      <alignment horizontal="right"/>
    </xf>
    <xf numFmtId="165" fontId="2" fillId="21" borderId="0" xfId="0" applyNumberFormat="1" applyFont="1" applyFill="1"/>
    <xf numFmtId="165" fontId="3" fillId="0" borderId="0" xfId="1" applyNumberFormat="1" applyFont="1"/>
    <xf numFmtId="165" fontId="4" fillId="24" borderId="2" xfId="0" applyNumberFormat="1" applyFont="1" applyFill="1" applyBorder="1" applyAlignment="1" applyProtection="1">
      <alignment vertical="center" wrapText="1"/>
      <protection locked="0"/>
    </xf>
    <xf numFmtId="165" fontId="10" fillId="0" borderId="5" xfId="1" applyNumberFormat="1" applyFont="1" applyFill="1" applyBorder="1"/>
    <xf numFmtId="165" fontId="10" fillId="0" borderId="2" xfId="1" applyNumberFormat="1" applyFont="1" applyFill="1" applyBorder="1"/>
    <xf numFmtId="165" fontId="10" fillId="0" borderId="0" xfId="1" applyNumberFormat="1" applyFont="1"/>
    <xf numFmtId="166" fontId="10" fillId="0" borderId="0" xfId="2" applyNumberFormat="1" applyFont="1"/>
    <xf numFmtId="165" fontId="10" fillId="2" borderId="2" xfId="1" applyNumberFormat="1" applyFont="1" applyFill="1" applyBorder="1"/>
    <xf numFmtId="10" fontId="10" fillId="0" borderId="0" xfId="2" applyNumberFormat="1" applyFont="1"/>
    <xf numFmtId="165" fontId="10" fillId="0" borderId="0" xfId="1" applyNumberFormat="1" applyFont="1" applyBorder="1"/>
    <xf numFmtId="165" fontId="10" fillId="0" borderId="6" xfId="1" applyNumberFormat="1" applyFont="1" applyBorder="1"/>
    <xf numFmtId="165" fontId="4" fillId="0" borderId="0" xfId="0" applyNumberFormat="1" applyFont="1"/>
    <xf numFmtId="10" fontId="3" fillId="0" borderId="0" xfId="2" applyNumberFormat="1" applyFont="1"/>
    <xf numFmtId="165" fontId="4" fillId="21" borderId="0" xfId="0" applyNumberFormat="1" applyFont="1" applyFill="1"/>
    <xf numFmtId="165" fontId="10" fillId="5" borderId="2" xfId="1" applyNumberFormat="1" applyFont="1" applyFill="1" applyBorder="1"/>
    <xf numFmtId="10" fontId="4" fillId="2" borderId="0" xfId="2" applyNumberFormat="1" applyFont="1" applyFill="1"/>
    <xf numFmtId="165" fontId="4" fillId="2" borderId="0" xfId="0" applyNumberFormat="1" applyFont="1" applyFill="1"/>
    <xf numFmtId="165" fontId="4" fillId="2" borderId="0" xfId="1" applyNumberFormat="1" applyFont="1" applyFill="1" applyBorder="1"/>
    <xf numFmtId="165" fontId="4" fillId="2" borderId="1" xfId="1" applyNumberFormat="1" applyFont="1" applyFill="1" applyBorder="1"/>
    <xf numFmtId="164" fontId="4" fillId="2" borderId="1" xfId="1" applyNumberFormat="1" applyFont="1" applyFill="1" applyBorder="1"/>
    <xf numFmtId="10" fontId="4" fillId="0" borderId="0" xfId="2" applyNumberFormat="1" applyFont="1"/>
    <xf numFmtId="165" fontId="4" fillId="0" borderId="0" xfId="1" applyNumberFormat="1" applyFont="1" applyBorder="1"/>
    <xf numFmtId="165" fontId="4" fillId="0" borderId="0" xfId="1" applyNumberFormat="1" applyFont="1" applyFill="1" applyBorder="1"/>
    <xf numFmtId="165" fontId="4" fillId="0" borderId="0" xfId="1" applyNumberFormat="1" applyFont="1"/>
    <xf numFmtId="165" fontId="3" fillId="0" borderId="0" xfId="1" applyNumberFormat="1" applyFont="1" applyFill="1" applyBorder="1"/>
    <xf numFmtId="165" fontId="10" fillId="23" borderId="0" xfId="1" applyNumberFormat="1" applyFont="1" applyFill="1"/>
    <xf numFmtId="173" fontId="3" fillId="0" borderId="0" xfId="6" applyNumberFormat="1" applyFont="1"/>
    <xf numFmtId="173" fontId="3" fillId="21" borderId="0" xfId="6" applyNumberFormat="1" applyFont="1" applyFill="1"/>
    <xf numFmtId="173" fontId="3" fillId="0" borderId="0" xfId="6" applyNumberFormat="1" applyFont="1" applyFill="1"/>
    <xf numFmtId="165" fontId="3" fillId="0" borderId="0" xfId="0" applyNumberFormat="1" applyFont="1" applyAlignment="1">
      <alignment horizontal="right" vertical="center"/>
    </xf>
    <xf numFmtId="165" fontId="12" fillId="9" borderId="0" xfId="0" applyNumberFormat="1" applyFont="1" applyFill="1"/>
    <xf numFmtId="10" fontId="12" fillId="9" borderId="0" xfId="2" applyNumberFormat="1" applyFont="1" applyFill="1"/>
    <xf numFmtId="165" fontId="12" fillId="9" borderId="0" xfId="1" applyNumberFormat="1" applyFont="1" applyFill="1"/>
    <xf numFmtId="165" fontId="9" fillId="0" borderId="0" xfId="0" applyNumberFormat="1" applyFont="1"/>
    <xf numFmtId="165" fontId="9" fillId="21" borderId="0" xfId="0" applyNumberFormat="1" applyFont="1" applyFill="1"/>
    <xf numFmtId="165" fontId="21" fillId="0" borderId="0" xfId="0" applyNumberFormat="1" applyFont="1"/>
    <xf numFmtId="10" fontId="21" fillId="0" borderId="0" xfId="2" applyNumberFormat="1" applyFont="1"/>
    <xf numFmtId="164" fontId="21" fillId="22" borderId="0" xfId="2" applyNumberFormat="1" applyFont="1" applyFill="1"/>
    <xf numFmtId="165" fontId="21" fillId="0" borderId="0" xfId="1" applyNumberFormat="1" applyFont="1"/>
    <xf numFmtId="165" fontId="21" fillId="21" borderId="0" xfId="0" applyNumberFormat="1" applyFont="1" applyFill="1"/>
    <xf numFmtId="166" fontId="21" fillId="0" borderId="0" xfId="2" applyNumberFormat="1" applyFont="1"/>
    <xf numFmtId="164" fontId="12" fillId="9" borderId="0" xfId="1" applyNumberFormat="1" applyFont="1" applyFill="1"/>
    <xf numFmtId="10" fontId="10" fillId="22" borderId="0" xfId="2" applyNumberFormat="1" applyFont="1" applyFill="1"/>
    <xf numFmtId="165" fontId="10" fillId="0" borderId="0" xfId="0" applyNumberFormat="1" applyFont="1" applyAlignment="1">
      <alignment horizontal="center"/>
    </xf>
    <xf numFmtId="169" fontId="21" fillId="0" borderId="0" xfId="2" applyNumberFormat="1" applyFont="1"/>
    <xf numFmtId="172" fontId="12" fillId="9" borderId="0" xfId="1" applyNumberFormat="1" applyFont="1" applyFill="1"/>
    <xf numFmtId="172" fontId="21" fillId="18" borderId="0" xfId="1" applyNumberFormat="1" applyFont="1" applyFill="1"/>
    <xf numFmtId="164" fontId="21" fillId="0" borderId="0" xfId="2" applyNumberFormat="1" applyFont="1" applyFill="1"/>
    <xf numFmtId="166" fontId="21" fillId="0" borderId="0" xfId="2" applyNumberFormat="1" applyFont="1" applyFill="1"/>
    <xf numFmtId="165" fontId="12" fillId="9" borderId="0" xfId="1" applyNumberFormat="1" applyFont="1" applyFill="1" applyBorder="1"/>
    <xf numFmtId="165" fontId="9" fillId="9" borderId="0" xfId="0" applyNumberFormat="1" applyFont="1" applyFill="1"/>
    <xf numFmtId="0" fontId="6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165" fontId="10" fillId="25" borderId="7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8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9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10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0" xfId="0" applyNumberFormat="1" applyFont="1" applyFill="1" applyAlignment="1" applyProtection="1">
      <alignment horizontal="left" vertical="center" wrapText="1"/>
      <protection locked="0"/>
    </xf>
    <xf numFmtId="165" fontId="10" fillId="25" borderId="6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11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1" xfId="0" applyNumberFormat="1" applyFont="1" applyFill="1" applyBorder="1" applyAlignment="1" applyProtection="1">
      <alignment horizontal="left" vertical="center" wrapText="1"/>
      <protection locked="0"/>
    </xf>
    <xf numFmtId="165" fontId="10" fillId="25" borderId="12" xfId="0" applyNumberFormat="1" applyFont="1" applyFill="1" applyBorder="1" applyAlignment="1" applyProtection="1">
      <alignment horizontal="left" vertical="center" wrapText="1"/>
      <protection locked="0"/>
    </xf>
    <xf numFmtId="165" fontId="33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 vertical="center" wrapText="1"/>
    </xf>
    <xf numFmtId="10" fontId="4" fillId="0" borderId="0" xfId="2" applyNumberFormat="1" applyFont="1" applyAlignment="1">
      <alignment horizontal="left"/>
    </xf>
    <xf numFmtId="0" fontId="15" fillId="0" borderId="0" xfId="3" applyFont="1" applyAlignment="1">
      <alignment horizontal="left" vertical="center" wrapText="1"/>
    </xf>
    <xf numFmtId="0" fontId="15" fillId="0" borderId="0" xfId="3" applyFont="1" applyAlignment="1">
      <alignment horizontal="center" vertical="center" wrapText="1"/>
    </xf>
    <xf numFmtId="0" fontId="19" fillId="0" borderId="0" xfId="3" applyFont="1" applyAlignment="1">
      <alignment horizontal="left"/>
    </xf>
    <xf numFmtId="0" fontId="16" fillId="0" borderId="0" xfId="3" applyFont="1" applyAlignment="1">
      <alignment horizontal="center" vertical="center" wrapText="1"/>
    </xf>
    <xf numFmtId="0" fontId="15" fillId="0" borderId="0" xfId="3" applyFont="1" applyAlignment="1">
      <alignment horizontal="right" vertical="center" wrapText="1"/>
    </xf>
    <xf numFmtId="0" fontId="15" fillId="0" borderId="0" xfId="3" quotePrefix="1" applyFont="1" applyAlignment="1">
      <alignment horizontal="right" vertical="center"/>
    </xf>
  </cellXfs>
  <cellStyles count="7">
    <cellStyle name="Comma" xfId="6" builtinId="3"/>
    <cellStyle name="Currency" xfId="1" builtinId="4"/>
    <cellStyle name="Currency 2" xfId="5" xr:uid="{734B02FD-D90D-42C7-9612-28FC74972AF0}"/>
    <cellStyle name="Excel Built-in Normal" xfId="3" xr:uid="{8974AB0D-C2C9-46D2-9854-17783FAD5E54}"/>
    <cellStyle name="Normal" xfId="0" builtinId="0"/>
    <cellStyle name="Percent" xfId="2" builtinId="5"/>
    <cellStyle name="Percent 2" xfId="4" xr:uid="{CBEDAD3C-FCFF-4CC7-AFE2-AF9D458D8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551-8D4D-4366-ACA7-8A9412782196}">
  <dimension ref="A1:D10"/>
  <sheetViews>
    <sheetView workbookViewId="0">
      <selection activeCell="B13" sqref="B13"/>
    </sheetView>
  </sheetViews>
  <sheetFormatPr defaultRowHeight="22.5" customHeight="1" x14ac:dyDescent="0.35"/>
  <cols>
    <col min="1" max="1" width="8.7265625" style="115"/>
    <col min="2" max="2" width="68.6328125" style="88" customWidth="1"/>
    <col min="3" max="3" width="2.1796875" style="88" customWidth="1"/>
    <col min="4" max="4" width="10.453125" style="115" customWidth="1"/>
    <col min="5" max="16384" width="8.7265625" style="88"/>
  </cols>
  <sheetData>
    <row r="1" spans="1:4" s="86" customFormat="1" ht="22.5" customHeight="1" x14ac:dyDescent="0.35">
      <c r="A1" s="115"/>
      <c r="B1" s="87" t="s">
        <v>65</v>
      </c>
      <c r="C1" s="87"/>
      <c r="D1" s="115"/>
    </row>
    <row r="3" spans="1:4" ht="46.5" x14ac:dyDescent="0.35">
      <c r="A3" s="114">
        <v>1</v>
      </c>
      <c r="B3" s="201" t="s">
        <v>69</v>
      </c>
      <c r="D3" s="202" t="s">
        <v>101</v>
      </c>
    </row>
    <row r="4" spans="1:4" ht="31" x14ac:dyDescent="0.35">
      <c r="A4" s="114">
        <f>A3+1</f>
        <v>2</v>
      </c>
      <c r="B4" s="201" t="s">
        <v>108</v>
      </c>
      <c r="C4" s="89"/>
      <c r="D4" s="203">
        <v>0.3</v>
      </c>
    </row>
    <row r="5" spans="1:4" ht="31" x14ac:dyDescent="0.35">
      <c r="A5" s="114">
        <f t="shared" ref="A5:A10" si="0">A4+1</f>
        <v>3</v>
      </c>
      <c r="B5" s="89" t="s">
        <v>102</v>
      </c>
      <c r="C5" s="89"/>
      <c r="D5" s="204" t="s">
        <v>103</v>
      </c>
    </row>
    <row r="6" spans="1:4" ht="31" x14ac:dyDescent="0.35">
      <c r="A6" s="114">
        <f t="shared" si="0"/>
        <v>4</v>
      </c>
      <c r="B6" s="89" t="s">
        <v>104</v>
      </c>
      <c r="C6" s="89"/>
      <c r="D6" s="205" t="s">
        <v>105</v>
      </c>
    </row>
    <row r="7" spans="1:4" ht="15.5" x14ac:dyDescent="0.35">
      <c r="A7" s="114">
        <f t="shared" si="0"/>
        <v>5</v>
      </c>
      <c r="B7" s="89" t="s">
        <v>106</v>
      </c>
      <c r="C7" s="89"/>
      <c r="D7" s="206"/>
    </row>
    <row r="8" spans="1:4" ht="46.5" x14ac:dyDescent="0.35">
      <c r="A8" s="114">
        <f t="shared" si="0"/>
        <v>6</v>
      </c>
      <c r="B8" s="201" t="s">
        <v>63</v>
      </c>
      <c r="C8" s="89"/>
      <c r="D8" s="207" t="s">
        <v>62</v>
      </c>
    </row>
    <row r="9" spans="1:4" ht="46.5" x14ac:dyDescent="0.35">
      <c r="A9" s="114">
        <f t="shared" si="0"/>
        <v>7</v>
      </c>
      <c r="B9" s="201" t="s">
        <v>61</v>
      </c>
      <c r="C9" s="89"/>
      <c r="D9" s="208" t="s">
        <v>107</v>
      </c>
    </row>
    <row r="10" spans="1:4" ht="31" x14ac:dyDescent="0.35">
      <c r="A10" s="114">
        <f t="shared" si="0"/>
        <v>8</v>
      </c>
      <c r="B10" s="89" t="s">
        <v>70</v>
      </c>
      <c r="D10" s="206" t="s">
        <v>64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4E34-48AF-4FED-853D-CCEBE0B53F46}">
  <sheetPr>
    <pageSetUpPr fitToPage="1"/>
  </sheetPr>
  <dimension ref="A1:AC54"/>
  <sheetViews>
    <sheetView view="pageBreakPreview" topLeftCell="A2" zoomScale="60" zoomScaleNormal="60" zoomScalePageLayoutView="70" workbookViewId="0">
      <selection activeCell="L30" sqref="L30"/>
    </sheetView>
  </sheetViews>
  <sheetFormatPr defaultColWidth="9.1796875" defaultRowHeight="15.5" x14ac:dyDescent="0.35"/>
  <cols>
    <col min="1" max="1" width="9.1796875" style="1"/>
    <col min="2" max="2" width="47.6328125" style="1" customWidth="1"/>
    <col min="3" max="3" width="2.6328125" style="103" customWidth="1"/>
    <col min="4" max="4" width="1.90625" style="109" customWidth="1"/>
    <col min="5" max="5" width="2.6328125" style="103" customWidth="1"/>
    <col min="6" max="6" width="21.6328125" style="52" customWidth="1"/>
    <col min="7" max="7" width="1.54296875" style="52" customWidth="1"/>
    <col min="8" max="8" width="12.453125" style="48" customWidth="1"/>
    <col min="9" max="9" width="2.6328125" style="103" customWidth="1"/>
    <col min="10" max="10" width="1.90625" style="109" customWidth="1"/>
    <col min="11" max="11" width="2.6328125" style="103" customWidth="1"/>
    <col min="12" max="12" width="21.6328125" style="52" customWidth="1"/>
    <col min="13" max="13" width="1.81640625" style="52" customWidth="1"/>
    <col min="14" max="14" width="10.453125" style="9" hidden="1" customWidth="1"/>
    <col min="15" max="15" width="12.36328125" style="52" customWidth="1"/>
    <col min="16" max="16" width="5.6328125" style="52" customWidth="1"/>
    <col min="17" max="17" width="21.6328125" style="52" customWidth="1"/>
    <col min="18" max="18" width="1.81640625" style="52" customWidth="1"/>
    <col min="19" max="19" width="12.36328125" style="52" customWidth="1"/>
    <col min="20" max="20" width="2.6328125" style="103" customWidth="1"/>
    <col min="21" max="21" width="1.90625" style="109" customWidth="1"/>
    <col min="22" max="22" width="2.6328125" style="103" customWidth="1"/>
    <col min="23" max="23" width="21.6328125" style="52" customWidth="1"/>
    <col min="24" max="24" width="1.81640625" style="52" customWidth="1"/>
    <col min="25" max="25" width="12.54296875" style="52" customWidth="1"/>
    <col min="26" max="26" width="5.6328125" style="52" customWidth="1"/>
    <col min="27" max="27" width="21.6328125" style="52" customWidth="1"/>
    <col min="28" max="28" width="1.81640625" style="52" customWidth="1"/>
    <col min="29" max="29" width="12.54296875" style="52" customWidth="1"/>
    <col min="30" max="16384" width="9.1796875" style="1"/>
  </cols>
  <sheetData>
    <row r="1" spans="1:29" x14ac:dyDescent="0.35">
      <c r="C1" s="101"/>
      <c r="E1" s="101"/>
      <c r="I1" s="101"/>
      <c r="K1" s="101"/>
      <c r="T1" s="101"/>
      <c r="V1" s="101"/>
    </row>
    <row r="2" spans="1:29" ht="23" x14ac:dyDescent="0.5">
      <c r="B2" s="193" t="s">
        <v>100</v>
      </c>
      <c r="C2" s="101"/>
      <c r="E2" s="101"/>
      <c r="I2" s="101"/>
      <c r="K2" s="101"/>
      <c r="T2" s="101"/>
      <c r="V2" s="101"/>
    </row>
    <row r="3" spans="1:29" x14ac:dyDescent="0.35">
      <c r="C3" s="101"/>
      <c r="E3" s="101"/>
      <c r="I3" s="101"/>
      <c r="K3" s="101"/>
      <c r="T3" s="101"/>
      <c r="V3" s="101"/>
    </row>
    <row r="4" spans="1:29" ht="20.25" customHeight="1" x14ac:dyDescent="0.45">
      <c r="A4" s="4"/>
      <c r="B4" s="47" t="s">
        <v>42</v>
      </c>
      <c r="C4" s="102"/>
      <c r="D4" s="110"/>
      <c r="E4" s="102"/>
      <c r="G4" s="53"/>
      <c r="H4" s="49"/>
      <c r="I4" s="102"/>
      <c r="J4" s="110"/>
      <c r="K4" s="102"/>
      <c r="L4" s="116">
        <v>2015</v>
      </c>
      <c r="M4" s="53"/>
      <c r="N4" s="53"/>
      <c r="O4" s="66"/>
      <c r="Q4" s="67"/>
      <c r="R4" s="67"/>
      <c r="S4" s="68"/>
      <c r="T4" s="102"/>
      <c r="U4" s="110"/>
      <c r="V4" s="102"/>
      <c r="W4" s="116"/>
      <c r="X4" s="67"/>
      <c r="Y4" s="68"/>
      <c r="AA4" s="116"/>
      <c r="AB4" s="67"/>
      <c r="AC4" s="68"/>
    </row>
    <row r="5" spans="1:29" ht="20.25" customHeight="1" x14ac:dyDescent="0.45">
      <c r="A5" s="4"/>
      <c r="B5" s="2" t="s">
        <v>95</v>
      </c>
      <c r="C5" s="102"/>
      <c r="D5" s="110"/>
      <c r="E5" s="102"/>
      <c r="G5" s="53"/>
      <c r="H5" s="49"/>
      <c r="I5" s="102"/>
      <c r="J5" s="110"/>
      <c r="K5" s="102"/>
      <c r="L5" s="191">
        <v>1800</v>
      </c>
      <c r="M5" s="53"/>
      <c r="N5" s="53"/>
      <c r="O5" s="66"/>
      <c r="Q5" s="67"/>
      <c r="R5" s="67"/>
      <c r="S5" s="68"/>
      <c r="T5" s="102"/>
      <c r="U5" s="110"/>
      <c r="V5" s="102"/>
      <c r="W5" s="191"/>
      <c r="X5" s="67"/>
      <c r="Y5" s="68"/>
      <c r="AA5" s="191"/>
      <c r="AB5" s="67"/>
      <c r="AC5" s="68"/>
    </row>
    <row r="6" spans="1:29" ht="20.25" customHeight="1" x14ac:dyDescent="0.45">
      <c r="A6" s="4"/>
      <c r="B6" s="189" t="s">
        <v>93</v>
      </c>
      <c r="C6" s="102"/>
      <c r="D6" s="110"/>
      <c r="E6" s="102"/>
      <c r="G6" s="53"/>
      <c r="H6" s="49"/>
      <c r="I6" s="102"/>
      <c r="J6" s="110"/>
      <c r="K6" s="102"/>
      <c r="L6" s="194">
        <v>1</v>
      </c>
      <c r="M6" s="53"/>
      <c r="N6" s="53"/>
      <c r="O6" s="66"/>
      <c r="Q6" s="67"/>
      <c r="R6" s="67"/>
      <c r="S6" s="68"/>
      <c r="T6" s="102"/>
      <c r="U6" s="110"/>
      <c r="V6" s="102"/>
      <c r="W6" s="194"/>
      <c r="X6" s="67"/>
      <c r="Y6" s="68"/>
      <c r="AA6" s="194"/>
      <c r="AB6" s="67"/>
      <c r="AC6" s="68"/>
    </row>
    <row r="7" spans="1:29" ht="20.25" customHeight="1" x14ac:dyDescent="0.45">
      <c r="A7" s="4"/>
      <c r="B7" s="189" t="s">
        <v>92</v>
      </c>
      <c r="C7" s="102"/>
      <c r="D7" s="110"/>
      <c r="E7" s="102"/>
      <c r="G7" s="53"/>
      <c r="H7" s="49"/>
      <c r="I7" s="102"/>
      <c r="J7" s="110"/>
      <c r="K7" s="102"/>
      <c r="L7" s="192">
        <v>0.1</v>
      </c>
      <c r="M7" s="53"/>
      <c r="N7" s="53"/>
      <c r="O7" s="66"/>
      <c r="Q7" s="67"/>
      <c r="R7" s="67"/>
      <c r="S7" s="68"/>
      <c r="T7" s="102"/>
      <c r="U7" s="110"/>
      <c r="V7" s="102"/>
      <c r="W7" s="192"/>
      <c r="X7" s="67"/>
      <c r="Y7" s="68"/>
      <c r="AA7" s="192"/>
      <c r="AB7" s="67"/>
      <c r="AC7" s="68"/>
    </row>
    <row r="8" spans="1:29" ht="20.25" customHeight="1" x14ac:dyDescent="0.45">
      <c r="A8" s="4"/>
      <c r="B8" s="47"/>
      <c r="C8" s="102"/>
      <c r="D8" s="110"/>
      <c r="E8" s="102"/>
      <c r="F8" s="181"/>
      <c r="G8" s="53"/>
      <c r="H8" s="49"/>
      <c r="I8" s="102"/>
      <c r="J8" s="110"/>
      <c r="K8" s="102"/>
      <c r="L8" s="53"/>
      <c r="M8" s="53"/>
      <c r="N8" s="53"/>
      <c r="O8" s="66"/>
      <c r="Q8" s="67"/>
      <c r="R8" s="67"/>
      <c r="S8" s="68"/>
      <c r="T8" s="102"/>
      <c r="U8" s="110"/>
      <c r="V8" s="102"/>
      <c r="W8" s="67"/>
      <c r="X8" s="67"/>
      <c r="Y8" s="68"/>
      <c r="AA8" s="67"/>
      <c r="AB8" s="67"/>
      <c r="AC8" s="68"/>
    </row>
    <row r="9" spans="1:29" s="25" customFormat="1" ht="75" x14ac:dyDescent="0.35">
      <c r="C9" s="213"/>
      <c r="D9" s="214"/>
      <c r="E9" s="213"/>
      <c r="F9" s="215" t="s">
        <v>39</v>
      </c>
      <c r="G9" s="216"/>
      <c r="H9" s="217" t="s">
        <v>23</v>
      </c>
      <c r="I9" s="213"/>
      <c r="J9" s="214"/>
      <c r="K9" s="213"/>
      <c r="L9" s="215" t="s">
        <v>109</v>
      </c>
      <c r="M9" s="218"/>
      <c r="N9" s="219" t="s">
        <v>0</v>
      </c>
      <c r="O9" s="220" t="s">
        <v>24</v>
      </c>
      <c r="P9" s="218"/>
      <c r="Q9" s="215" t="s">
        <v>110</v>
      </c>
      <c r="R9" s="218"/>
      <c r="S9" s="220" t="s">
        <v>25</v>
      </c>
      <c r="T9" s="213"/>
      <c r="U9" s="214"/>
      <c r="V9" s="213"/>
      <c r="W9" s="215" t="s">
        <v>67</v>
      </c>
      <c r="X9" s="218"/>
      <c r="Y9" s="220" t="s">
        <v>57</v>
      </c>
      <c r="Z9" s="218"/>
      <c r="AA9" s="215" t="s">
        <v>68</v>
      </c>
      <c r="AB9" s="218"/>
      <c r="AC9" s="220" t="s">
        <v>57</v>
      </c>
    </row>
    <row r="10" spans="1:29" ht="30" customHeight="1" x14ac:dyDescent="0.4">
      <c r="B10" s="20" t="s">
        <v>1</v>
      </c>
      <c r="C10" s="99"/>
      <c r="E10" s="99"/>
      <c r="I10" s="99"/>
      <c r="K10" s="99"/>
      <c r="T10" s="99"/>
      <c r="V10" s="99"/>
    </row>
    <row r="11" spans="1:29" ht="24" customHeight="1" x14ac:dyDescent="0.5">
      <c r="A11" s="1" t="s">
        <v>2</v>
      </c>
      <c r="B11" s="5" t="s">
        <v>3</v>
      </c>
      <c r="F11" s="212"/>
      <c r="G11" s="73"/>
      <c r="H11" s="48">
        <f>F11/12</f>
        <v>0</v>
      </c>
      <c r="L11" s="211">
        <f>VLOOKUP($L$4,'2027 Minister Salary Table'!$B$4:$E$44,2,FALSE)*MIN(1,$L$6)</f>
        <v>56303.303522512753</v>
      </c>
      <c r="N11" s="9">
        <f>L11-F11</f>
        <v>56303.303522512753</v>
      </c>
      <c r="O11" s="52">
        <f>L11/12</f>
        <v>4691.9419602093958</v>
      </c>
      <c r="Q11" s="211">
        <f>VLOOKUP($L$4,'2027 Minister Salary Table'!$B$4:$E$44,4,FALSE)*MIN(1,$L$6)</f>
        <v>58303.759896667631</v>
      </c>
      <c r="S11" s="52">
        <f>Q11/12</f>
        <v>4858.6466580556362</v>
      </c>
      <c r="W11" s="210"/>
      <c r="Y11" s="52">
        <f>W11/12</f>
        <v>0</v>
      </c>
      <c r="AA11" s="210"/>
      <c r="AC11" s="52">
        <f>AA11/12</f>
        <v>0</v>
      </c>
    </row>
    <row r="12" spans="1:29" ht="6" customHeight="1" x14ac:dyDescent="0.4">
      <c r="B12" s="7"/>
      <c r="C12" s="100"/>
      <c r="D12" s="111"/>
      <c r="E12" s="100"/>
      <c r="F12" s="55"/>
      <c r="G12" s="55"/>
      <c r="I12" s="100"/>
      <c r="J12" s="111"/>
      <c r="K12" s="100"/>
      <c r="L12" s="55"/>
      <c r="Q12" s="55"/>
      <c r="T12" s="100"/>
      <c r="U12" s="111"/>
      <c r="V12" s="100"/>
      <c r="W12" s="55"/>
      <c r="AA12" s="55"/>
    </row>
    <row r="13" spans="1:29" ht="24" customHeight="1" x14ac:dyDescent="0.4">
      <c r="A13" s="1" t="s">
        <v>4</v>
      </c>
      <c r="B13" s="5" t="s">
        <v>58</v>
      </c>
      <c r="C13" s="100"/>
      <c r="D13" s="111"/>
      <c r="E13" s="100"/>
      <c r="F13" s="52">
        <f>F11*0.3</f>
        <v>0</v>
      </c>
      <c r="G13" s="55"/>
      <c r="H13" s="48">
        <f>F13/12</f>
        <v>0</v>
      </c>
      <c r="I13" s="100"/>
      <c r="J13" s="111"/>
      <c r="K13" s="100"/>
      <c r="L13" s="52">
        <f>L11*0.3</f>
        <v>16890.991056753825</v>
      </c>
      <c r="N13" s="9">
        <f>L13-F13</f>
        <v>16890.991056753825</v>
      </c>
      <c r="O13" s="52">
        <f>L13/12</f>
        <v>1407.5825880628188</v>
      </c>
      <c r="Q13" s="52">
        <f>Q11*0.3</f>
        <v>17491.127969000288</v>
      </c>
      <c r="S13" s="52">
        <f>Q13/12</f>
        <v>1457.5939974166906</v>
      </c>
      <c r="T13" s="100"/>
      <c r="U13" s="111"/>
      <c r="V13" s="100"/>
      <c r="W13" s="52">
        <f>W11*0.3</f>
        <v>0</v>
      </c>
      <c r="Y13" s="52">
        <f>W13/12</f>
        <v>0</v>
      </c>
      <c r="AA13" s="52">
        <f>AA11*0.3</f>
        <v>0</v>
      </c>
      <c r="AC13" s="52">
        <f>AA13/12</f>
        <v>0</v>
      </c>
    </row>
    <row r="14" spans="1:29" ht="16.5" customHeight="1" x14ac:dyDescent="0.35">
      <c r="B14" s="108" t="s">
        <v>5</v>
      </c>
      <c r="C14" s="100"/>
      <c r="D14" s="111"/>
      <c r="E14" s="100"/>
      <c r="F14" s="74"/>
      <c r="G14" s="56"/>
      <c r="I14" s="100"/>
      <c r="J14" s="111"/>
      <c r="K14" s="100"/>
      <c r="L14" s="56"/>
      <c r="Q14" s="56"/>
      <c r="T14" s="100"/>
      <c r="U14" s="111"/>
      <c r="V14" s="100"/>
      <c r="W14" s="56"/>
      <c r="AA14" s="56"/>
    </row>
    <row r="15" spans="1:29" ht="6" customHeight="1" x14ac:dyDescent="0.35">
      <c r="B15" s="8"/>
      <c r="C15" s="100"/>
      <c r="D15" s="111"/>
      <c r="E15" s="100"/>
      <c r="F15" s="74"/>
      <c r="G15" s="56"/>
      <c r="I15" s="100"/>
      <c r="J15" s="111"/>
      <c r="K15" s="100"/>
      <c r="L15" s="56"/>
      <c r="Q15" s="56"/>
      <c r="T15" s="100"/>
      <c r="U15" s="111"/>
      <c r="V15" s="100"/>
      <c r="W15" s="56"/>
      <c r="AA15" s="56"/>
    </row>
    <row r="16" spans="1:29" ht="24" customHeight="1" x14ac:dyDescent="0.4">
      <c r="A16" s="1" t="s">
        <v>6</v>
      </c>
      <c r="B16" s="5" t="s">
        <v>13</v>
      </c>
      <c r="C16" s="100"/>
      <c r="D16" s="111"/>
      <c r="E16" s="100"/>
      <c r="F16" s="133"/>
      <c r="G16" s="56"/>
      <c r="H16" s="48">
        <f>F16/12</f>
        <v>0</v>
      </c>
      <c r="I16" s="100"/>
      <c r="J16" s="111"/>
      <c r="K16" s="100"/>
      <c r="L16" s="125"/>
      <c r="O16" s="52">
        <f>L16/12</f>
        <v>0</v>
      </c>
      <c r="Q16" s="125"/>
      <c r="S16" s="52">
        <f>Q16/12</f>
        <v>0</v>
      </c>
      <c r="T16" s="100"/>
      <c r="U16" s="111"/>
      <c r="V16" s="100"/>
      <c r="W16" s="125"/>
      <c r="Y16" s="52">
        <f>W16/12</f>
        <v>0</v>
      </c>
      <c r="AA16" s="125"/>
      <c r="AC16" s="52">
        <f>AA16/12</f>
        <v>0</v>
      </c>
    </row>
    <row r="17" spans="1:29" ht="6" customHeight="1" x14ac:dyDescent="0.35">
      <c r="C17" s="100"/>
      <c r="D17" s="111"/>
      <c r="E17" s="100"/>
      <c r="F17" s="74"/>
      <c r="G17" s="56"/>
      <c r="I17" s="100"/>
      <c r="J17" s="111"/>
      <c r="K17" s="100"/>
      <c r="L17" s="56"/>
      <c r="Q17" s="56"/>
      <c r="T17" s="100"/>
      <c r="U17" s="111"/>
      <c r="V17" s="100"/>
      <c r="W17" s="56"/>
      <c r="AA17" s="56"/>
    </row>
    <row r="18" spans="1:29" ht="24" customHeight="1" x14ac:dyDescent="0.4">
      <c r="A18" s="1" t="s">
        <v>7</v>
      </c>
      <c r="B18" s="5" t="s">
        <v>59</v>
      </c>
      <c r="C18" s="100"/>
      <c r="D18" s="111"/>
      <c r="E18" s="100"/>
      <c r="F18" s="55">
        <f>(F11+F13+F16)*7.65%</f>
        <v>0</v>
      </c>
      <c r="G18" s="55"/>
      <c r="H18" s="48">
        <f>F18/12</f>
        <v>0</v>
      </c>
      <c r="I18" s="100"/>
      <c r="J18" s="111"/>
      <c r="K18" s="100"/>
      <c r="L18" s="55">
        <f>(L11+L13+L16)*7.65%</f>
        <v>5599.3635353138925</v>
      </c>
      <c r="N18" s="9">
        <f>L18-F18</f>
        <v>5599.3635353138925</v>
      </c>
      <c r="O18" s="52">
        <f>L18/12</f>
        <v>466.61362794282439</v>
      </c>
      <c r="Q18" s="55">
        <f>(Q11+Q13+Q16)*7.65%</f>
        <v>5798.3089217235956</v>
      </c>
      <c r="S18" s="52">
        <f>Q18/12</f>
        <v>483.19241014363297</v>
      </c>
      <c r="T18" s="100"/>
      <c r="U18" s="111"/>
      <c r="V18" s="100"/>
      <c r="W18" s="55">
        <f>(W11+W13+W16)*7.65%</f>
        <v>0</v>
      </c>
      <c r="Y18" s="52">
        <f>W18/12</f>
        <v>0</v>
      </c>
      <c r="AA18" s="55">
        <f>(AA11+AA13+AA16)*7.65%</f>
        <v>0</v>
      </c>
      <c r="AC18" s="52">
        <f>AA18/12</f>
        <v>0</v>
      </c>
    </row>
    <row r="19" spans="1:29" s="18" customFormat="1" ht="18" x14ac:dyDescent="0.4">
      <c r="A19" s="1"/>
      <c r="B19" s="22" t="s">
        <v>38</v>
      </c>
      <c r="C19" s="100"/>
      <c r="D19" s="111"/>
      <c r="E19" s="100"/>
      <c r="F19" s="58"/>
      <c r="G19" s="58"/>
      <c r="H19" s="75"/>
      <c r="I19" s="100"/>
      <c r="J19" s="111"/>
      <c r="K19" s="100"/>
      <c r="L19" s="58"/>
      <c r="M19" s="76"/>
      <c r="N19" s="17"/>
      <c r="O19" s="76"/>
      <c r="P19" s="52"/>
      <c r="Q19" s="58"/>
      <c r="R19" s="76"/>
      <c r="S19" s="76"/>
      <c r="T19" s="100"/>
      <c r="U19" s="111"/>
      <c r="V19" s="100"/>
      <c r="W19" s="58"/>
      <c r="X19" s="76"/>
      <c r="Y19" s="76"/>
      <c r="Z19" s="52"/>
      <c r="AA19" s="58"/>
      <c r="AB19" s="76"/>
      <c r="AC19" s="76"/>
    </row>
    <row r="20" spans="1:29" s="46" customFormat="1" ht="41" x14ac:dyDescent="0.5">
      <c r="A20" s="43" t="s">
        <v>14</v>
      </c>
      <c r="B20" s="44" t="s">
        <v>26</v>
      </c>
      <c r="C20" s="100"/>
      <c r="D20" s="111"/>
      <c r="E20" s="100"/>
      <c r="F20" s="183">
        <f>SUM(F11:F19)</f>
        <v>0</v>
      </c>
      <c r="G20" s="59"/>
      <c r="H20" s="77">
        <f>F20/12</f>
        <v>0</v>
      </c>
      <c r="I20" s="100"/>
      <c r="J20" s="111"/>
      <c r="K20" s="100"/>
      <c r="L20" s="183">
        <f>SUM(L11:L19)</f>
        <v>78793.658114580467</v>
      </c>
      <c r="M20" s="45"/>
      <c r="N20" s="45">
        <f>L20-F20</f>
        <v>78793.658114580467</v>
      </c>
      <c r="O20" s="78">
        <f>L20/12</f>
        <v>6566.1381762150386</v>
      </c>
      <c r="P20" s="113"/>
      <c r="Q20" s="183">
        <f>SUM(Q11:Q19)</f>
        <v>81593.196787391513</v>
      </c>
      <c r="R20" s="45"/>
      <c r="S20" s="78">
        <f>Q20/12</f>
        <v>6799.4330656159591</v>
      </c>
      <c r="T20" s="100"/>
      <c r="U20" s="111"/>
      <c r="V20" s="100"/>
      <c r="W20" s="183">
        <f>SUM(W11:W19)</f>
        <v>0</v>
      </c>
      <c r="X20" s="45"/>
      <c r="Y20" s="78">
        <f>W20/12</f>
        <v>0</v>
      </c>
      <c r="Z20" s="113"/>
      <c r="AA20" s="183">
        <f>SUM(AA11:AA19)</f>
        <v>0</v>
      </c>
      <c r="AB20" s="45"/>
      <c r="AC20" s="78">
        <f>AA20/12</f>
        <v>0</v>
      </c>
    </row>
    <row r="21" spans="1:29" ht="22.5" x14ac:dyDescent="0.45">
      <c r="B21" s="5"/>
      <c r="C21" s="100"/>
      <c r="D21" s="111"/>
      <c r="E21" s="100"/>
      <c r="F21" s="60"/>
      <c r="G21" s="60"/>
      <c r="I21" s="100"/>
      <c r="J21" s="111"/>
      <c r="K21" s="100"/>
      <c r="L21" s="60"/>
      <c r="Q21" s="60"/>
      <c r="T21" s="100"/>
      <c r="U21" s="111"/>
      <c r="V21" s="100"/>
      <c r="W21" s="60"/>
      <c r="AA21" s="60"/>
    </row>
    <row r="22" spans="1:29" ht="30" customHeight="1" x14ac:dyDescent="0.45">
      <c r="B22" s="20" t="s">
        <v>20</v>
      </c>
      <c r="C22" s="100"/>
      <c r="D22" s="111"/>
      <c r="E22" s="100"/>
      <c r="F22" s="60"/>
      <c r="G22" s="60"/>
      <c r="I22" s="100"/>
      <c r="J22" s="111"/>
      <c r="K22" s="100"/>
      <c r="L22" s="60"/>
      <c r="Q22" s="60"/>
      <c r="T22" s="100"/>
      <c r="U22" s="111"/>
      <c r="V22" s="100"/>
      <c r="W22" s="60"/>
      <c r="AA22" s="60"/>
    </row>
    <row r="23" spans="1:29" s="117" customFormat="1" ht="24" customHeight="1" x14ac:dyDescent="0.45">
      <c r="A23" s="117" t="s">
        <v>8</v>
      </c>
      <c r="B23" s="118" t="s">
        <v>21</v>
      </c>
      <c r="C23" s="119"/>
      <c r="D23" s="120"/>
      <c r="E23" s="119"/>
      <c r="F23" s="125"/>
      <c r="G23" s="121"/>
      <c r="H23" s="122">
        <f>F23/12</f>
        <v>0</v>
      </c>
      <c r="I23" s="119"/>
      <c r="J23" s="120"/>
      <c r="K23" s="119"/>
      <c r="L23" s="125"/>
      <c r="M23" s="123"/>
      <c r="N23" s="124"/>
      <c r="O23" s="123">
        <f>M23/12</f>
        <v>0</v>
      </c>
      <c r="P23" s="123"/>
      <c r="Q23" s="125"/>
      <c r="R23" s="123"/>
      <c r="S23" s="123">
        <f>Q23/12</f>
        <v>0</v>
      </c>
      <c r="T23" s="119"/>
      <c r="U23" s="120"/>
      <c r="V23" s="119"/>
      <c r="W23" s="125"/>
      <c r="X23" s="123"/>
      <c r="Y23" s="123">
        <f>W23/12</f>
        <v>0</v>
      </c>
      <c r="Z23" s="123"/>
      <c r="AA23" s="125"/>
      <c r="AB23" s="123"/>
      <c r="AC23" s="123">
        <f>AA23/12</f>
        <v>0</v>
      </c>
    </row>
    <row r="24" spans="1:29" ht="6" customHeight="1" x14ac:dyDescent="0.45">
      <c r="B24" s="5"/>
      <c r="C24" s="100"/>
      <c r="D24" s="111"/>
      <c r="E24" s="100"/>
      <c r="F24" s="60"/>
      <c r="G24" s="60"/>
      <c r="I24" s="100"/>
      <c r="J24" s="111"/>
      <c r="K24" s="100"/>
      <c r="L24" s="60"/>
      <c r="Q24" s="60"/>
      <c r="T24" s="100"/>
      <c r="U24" s="111"/>
      <c r="V24" s="100"/>
      <c r="W24" s="60"/>
      <c r="AA24" s="60"/>
    </row>
    <row r="25" spans="1:29" s="131" customFormat="1" ht="24" customHeight="1" x14ac:dyDescent="0.45">
      <c r="A25" s="117" t="s">
        <v>9</v>
      </c>
      <c r="B25" s="126" t="s">
        <v>22</v>
      </c>
      <c r="C25" s="119"/>
      <c r="D25" s="120"/>
      <c r="E25" s="119"/>
      <c r="F25" s="125"/>
      <c r="G25" s="127"/>
      <c r="H25" s="128">
        <f>F25/12</f>
        <v>0</v>
      </c>
      <c r="I25" s="119"/>
      <c r="J25" s="120"/>
      <c r="K25" s="119"/>
      <c r="L25" s="125"/>
      <c r="M25" s="129"/>
      <c r="N25" s="130"/>
      <c r="O25" s="129">
        <f>M25/12</f>
        <v>0</v>
      </c>
      <c r="P25" s="123"/>
      <c r="Q25" s="125"/>
      <c r="R25" s="129"/>
      <c r="S25" s="129">
        <f>Q25/12</f>
        <v>0</v>
      </c>
      <c r="T25" s="119"/>
      <c r="U25" s="120"/>
      <c r="V25" s="119"/>
      <c r="W25" s="125"/>
      <c r="X25" s="129"/>
      <c r="Y25" s="129">
        <f>W25/12</f>
        <v>0</v>
      </c>
      <c r="Z25" s="123"/>
      <c r="AA25" s="125"/>
      <c r="AB25" s="129"/>
      <c r="AC25" s="129">
        <f>AA25/12</f>
        <v>0</v>
      </c>
    </row>
    <row r="26" spans="1:29" s="19" customFormat="1" ht="22.5" x14ac:dyDescent="0.45">
      <c r="A26" s="1" t="s">
        <v>10</v>
      </c>
      <c r="B26" s="12" t="s">
        <v>89</v>
      </c>
      <c r="C26" s="100"/>
      <c r="D26" s="111"/>
      <c r="E26" s="100"/>
      <c r="F26" s="182">
        <f>SUM(F23:F25)</f>
        <v>0</v>
      </c>
      <c r="G26" s="61"/>
      <c r="H26" s="77">
        <f>F26/12</f>
        <v>0</v>
      </c>
      <c r="I26" s="100"/>
      <c r="J26" s="111"/>
      <c r="K26" s="100"/>
      <c r="L26" s="182">
        <f>SUM(L23:L25)</f>
        <v>0</v>
      </c>
      <c r="M26" s="78"/>
      <c r="N26" s="13">
        <f>L26-F26</f>
        <v>0</v>
      </c>
      <c r="O26" s="78">
        <f>L26/12</f>
        <v>0</v>
      </c>
      <c r="P26" s="52"/>
      <c r="Q26" s="182">
        <f>SUM(Q23:Q25)</f>
        <v>0</v>
      </c>
      <c r="R26" s="78"/>
      <c r="S26" s="78">
        <f>Q26/12</f>
        <v>0</v>
      </c>
      <c r="T26" s="100"/>
      <c r="U26" s="111"/>
      <c r="V26" s="100"/>
      <c r="W26" s="182">
        <f>SUM(W23:W25)</f>
        <v>0</v>
      </c>
      <c r="X26" s="78"/>
      <c r="Y26" s="78">
        <f>W26/12</f>
        <v>0</v>
      </c>
      <c r="Z26" s="52"/>
      <c r="AA26" s="182">
        <f>SUM(AA23:AA25)</f>
        <v>0</v>
      </c>
      <c r="AB26" s="78"/>
      <c r="AC26" s="78">
        <f>AA26/12</f>
        <v>0</v>
      </c>
    </row>
    <row r="27" spans="1:29" x14ac:dyDescent="0.35">
      <c r="B27" s="10"/>
      <c r="C27" s="100"/>
      <c r="D27" s="111"/>
      <c r="E27" s="100"/>
      <c r="I27" s="100"/>
      <c r="J27" s="111"/>
      <c r="K27" s="100"/>
      <c r="T27" s="100"/>
      <c r="U27" s="111"/>
      <c r="V27" s="100"/>
    </row>
    <row r="28" spans="1:29" ht="18.75" hidden="1" customHeight="1" x14ac:dyDescent="0.35">
      <c r="B28" s="10"/>
      <c r="C28" s="100"/>
      <c r="D28" s="111"/>
      <c r="E28" s="100"/>
      <c r="I28" s="100"/>
      <c r="J28" s="111"/>
      <c r="K28" s="100"/>
      <c r="T28" s="100"/>
      <c r="U28" s="111"/>
      <c r="V28" s="100"/>
    </row>
    <row r="29" spans="1:29" ht="30" customHeight="1" x14ac:dyDescent="0.4">
      <c r="B29" s="21" t="s">
        <v>27</v>
      </c>
      <c r="C29" s="100"/>
      <c r="D29" s="111"/>
      <c r="E29" s="100"/>
      <c r="F29" s="62"/>
      <c r="G29" s="62"/>
      <c r="I29" s="100"/>
      <c r="J29" s="111"/>
      <c r="K29" s="100"/>
      <c r="L29" s="62"/>
      <c r="Q29" s="62"/>
      <c r="T29" s="100"/>
      <c r="U29" s="111"/>
      <c r="V29" s="100"/>
      <c r="W29" s="62"/>
      <c r="AA29" s="62"/>
    </row>
    <row r="30" spans="1:29" ht="24" customHeight="1" x14ac:dyDescent="0.4">
      <c r="A30" s="1" t="s">
        <v>16</v>
      </c>
      <c r="B30" s="5" t="s">
        <v>94</v>
      </c>
      <c r="C30" s="100"/>
      <c r="D30" s="111"/>
      <c r="E30" s="100"/>
      <c r="F30" s="63">
        <f>F20*MAX(0.1,$L$7)</f>
        <v>0</v>
      </c>
      <c r="G30" s="63"/>
      <c r="H30" s="48">
        <f>F30/12</f>
        <v>0</v>
      </c>
      <c r="I30" s="100"/>
      <c r="J30" s="111"/>
      <c r="K30" s="100"/>
      <c r="L30" s="63">
        <f>L20*MAX(0.1,$L$7)</f>
        <v>7879.3658114580467</v>
      </c>
      <c r="N30" s="9">
        <f>L30-F30</f>
        <v>7879.3658114580467</v>
      </c>
      <c r="O30" s="52">
        <f>L30/12</f>
        <v>656.61381762150393</v>
      </c>
      <c r="Q30" s="63">
        <f>Q20*MAX(0.1,$L$7)</f>
        <v>8159.3196787391516</v>
      </c>
      <c r="S30" s="52">
        <f>Q30/12</f>
        <v>679.94330656159593</v>
      </c>
      <c r="T30" s="100"/>
      <c r="U30" s="111"/>
      <c r="V30" s="100"/>
      <c r="W30" s="63">
        <f>W20*MAX(0.1,$W$7)</f>
        <v>0</v>
      </c>
      <c r="Y30" s="52">
        <f>W30/12</f>
        <v>0</v>
      </c>
      <c r="AA30" s="63">
        <f>AA20*MAX(0.1,$AA$7)</f>
        <v>0</v>
      </c>
      <c r="AC30" s="52">
        <f>AA30/12</f>
        <v>0</v>
      </c>
    </row>
    <row r="31" spans="1:29" ht="6" customHeight="1" x14ac:dyDescent="0.4">
      <c r="B31" s="11"/>
      <c r="C31" s="100"/>
      <c r="D31" s="111"/>
      <c r="E31" s="100"/>
      <c r="F31" s="63"/>
      <c r="G31" s="63"/>
      <c r="I31" s="100"/>
      <c r="J31" s="111"/>
      <c r="K31" s="100"/>
      <c r="L31" s="63"/>
      <c r="Q31" s="63"/>
      <c r="T31" s="100"/>
      <c r="U31" s="111"/>
      <c r="V31" s="100"/>
      <c r="W31" s="63"/>
      <c r="AA31" s="63"/>
    </row>
    <row r="32" spans="1:29" s="117" customFormat="1" ht="34" customHeight="1" x14ac:dyDescent="0.4">
      <c r="A32" s="117" t="s">
        <v>17</v>
      </c>
      <c r="B32" s="291" t="s">
        <v>151</v>
      </c>
      <c r="C32" s="119"/>
      <c r="D32" s="120"/>
      <c r="E32" s="119"/>
      <c r="F32" s="132"/>
      <c r="G32" s="175"/>
      <c r="H32" s="176">
        <f>F32/12</f>
        <v>0</v>
      </c>
      <c r="I32" s="119"/>
      <c r="J32" s="120"/>
      <c r="K32" s="119"/>
      <c r="L32" s="132"/>
      <c r="M32" s="123"/>
      <c r="N32" s="124">
        <f>L32-F32</f>
        <v>0</v>
      </c>
      <c r="O32" s="123">
        <f>L32/12</f>
        <v>0</v>
      </c>
      <c r="P32" s="123"/>
      <c r="Q32" s="132"/>
      <c r="R32" s="123"/>
      <c r="S32" s="123">
        <f>Q32/12</f>
        <v>0</v>
      </c>
      <c r="T32" s="119"/>
      <c r="U32" s="120"/>
      <c r="V32" s="119"/>
      <c r="W32" s="132"/>
      <c r="X32" s="123"/>
      <c r="Y32" s="123">
        <f>W32/12</f>
        <v>0</v>
      </c>
      <c r="Z32" s="123"/>
      <c r="AA32" s="132"/>
      <c r="AB32" s="123"/>
      <c r="AC32" s="123">
        <f>AA32/12</f>
        <v>0</v>
      </c>
    </row>
    <row r="33" spans="1:29" ht="6" customHeight="1" x14ac:dyDescent="0.4">
      <c r="B33" s="11"/>
      <c r="C33" s="100"/>
      <c r="D33" s="111"/>
      <c r="E33" s="100"/>
      <c r="F33" s="177"/>
      <c r="G33" s="177"/>
      <c r="H33" s="178"/>
      <c r="I33" s="100"/>
      <c r="J33" s="111"/>
      <c r="K33" s="100"/>
      <c r="L33" s="177"/>
      <c r="Q33" s="177"/>
      <c r="T33" s="100"/>
      <c r="U33" s="111"/>
      <c r="V33" s="100"/>
      <c r="W33" s="177"/>
      <c r="AA33" s="177"/>
    </row>
    <row r="34" spans="1:29" ht="24" customHeight="1" x14ac:dyDescent="0.4">
      <c r="A34" s="1" t="s">
        <v>18</v>
      </c>
      <c r="B34" s="5" t="s">
        <v>85</v>
      </c>
      <c r="C34" s="100"/>
      <c r="D34" s="111"/>
      <c r="E34" s="100"/>
      <c r="F34" s="179">
        <f>F20*0.005</f>
        <v>0</v>
      </c>
      <c r="G34" s="63"/>
      <c r="H34" s="178">
        <f>F34/12</f>
        <v>0</v>
      </c>
      <c r="I34" s="100"/>
      <c r="J34" s="111"/>
      <c r="K34" s="100"/>
      <c r="L34" s="179">
        <f>L20*0.005</f>
        <v>393.96829057290233</v>
      </c>
      <c r="N34" s="9">
        <f>L34-F34</f>
        <v>393.96829057290233</v>
      </c>
      <c r="O34" s="52">
        <f>L34/12</f>
        <v>32.830690881075192</v>
      </c>
      <c r="Q34" s="179">
        <f>Q20*0.005</f>
        <v>407.96598393695757</v>
      </c>
      <c r="S34" s="52">
        <f>Q34/12</f>
        <v>33.997165328079795</v>
      </c>
      <c r="T34" s="100"/>
      <c r="U34" s="111"/>
      <c r="V34" s="100"/>
      <c r="W34" s="179">
        <f>W20*0.005</f>
        <v>0</v>
      </c>
      <c r="Y34" s="52">
        <f>W34/12</f>
        <v>0</v>
      </c>
      <c r="AA34" s="179">
        <f>AA20*0.005</f>
        <v>0</v>
      </c>
      <c r="AC34" s="52">
        <f>AA34/12</f>
        <v>0</v>
      </c>
    </row>
    <row r="35" spans="1:29" ht="6.5" customHeight="1" x14ac:dyDescent="0.4">
      <c r="B35" s="5"/>
      <c r="C35" s="100"/>
      <c r="D35" s="111"/>
      <c r="E35" s="100"/>
      <c r="F35" s="179"/>
      <c r="G35" s="63"/>
      <c r="H35" s="178"/>
      <c r="I35" s="100"/>
      <c r="J35" s="111"/>
      <c r="K35" s="100"/>
      <c r="L35" s="179"/>
      <c r="Q35" s="179"/>
      <c r="T35" s="100"/>
      <c r="U35" s="111"/>
      <c r="V35" s="100"/>
      <c r="W35" s="179"/>
      <c r="AA35" s="179"/>
    </row>
    <row r="36" spans="1:29" s="117" customFormat="1" ht="24" customHeight="1" x14ac:dyDescent="0.45">
      <c r="A36" s="117" t="s">
        <v>19</v>
      </c>
      <c r="B36" s="118" t="s">
        <v>83</v>
      </c>
      <c r="C36" s="119"/>
      <c r="D36" s="120"/>
      <c r="E36" s="119"/>
      <c r="F36" s="180"/>
      <c r="G36" s="121"/>
      <c r="H36" s="176">
        <f>F36/12</f>
        <v>0</v>
      </c>
      <c r="I36" s="119"/>
      <c r="J36" s="120"/>
      <c r="K36" s="119"/>
      <c r="L36" s="209">
        <f>$L5</f>
        <v>1800</v>
      </c>
      <c r="M36" s="123"/>
      <c r="N36" s="124"/>
      <c r="O36" s="123">
        <f>L36/12</f>
        <v>150</v>
      </c>
      <c r="P36" s="123"/>
      <c r="Q36" s="209">
        <f>$L5</f>
        <v>1800</v>
      </c>
      <c r="R36" s="123"/>
      <c r="S36" s="123">
        <f>Q36/12</f>
        <v>150</v>
      </c>
      <c r="T36" s="119"/>
      <c r="U36" s="120"/>
      <c r="V36" s="119"/>
      <c r="W36" s="209">
        <f>W5</f>
        <v>0</v>
      </c>
      <c r="X36" s="123"/>
      <c r="Y36" s="123">
        <f>W36/12</f>
        <v>0</v>
      </c>
      <c r="Z36" s="123"/>
      <c r="AA36" s="209">
        <f>AA5</f>
        <v>0</v>
      </c>
      <c r="AB36" s="123"/>
      <c r="AC36" s="123">
        <f>AA36/12</f>
        <v>0</v>
      </c>
    </row>
    <row r="37" spans="1:29" ht="6" customHeight="1" x14ac:dyDescent="0.45">
      <c r="B37" s="4"/>
      <c r="C37" s="100"/>
      <c r="D37" s="111"/>
      <c r="E37" s="100"/>
      <c r="F37" s="60"/>
      <c r="G37" s="60"/>
      <c r="I37" s="100"/>
      <c r="J37" s="111"/>
      <c r="K37" s="100"/>
      <c r="L37" s="60"/>
      <c r="Q37" s="60"/>
      <c r="T37" s="100"/>
      <c r="U37" s="111"/>
      <c r="V37" s="100"/>
      <c r="W37" s="60"/>
      <c r="AA37" s="60"/>
    </row>
    <row r="38" spans="1:29" s="19" customFormat="1" ht="36" x14ac:dyDescent="0.45">
      <c r="A38" s="1" t="s">
        <v>88</v>
      </c>
      <c r="B38" s="12" t="s">
        <v>90</v>
      </c>
      <c r="C38" s="100"/>
      <c r="D38" s="111"/>
      <c r="E38" s="100"/>
      <c r="F38" s="182">
        <f>F30+F32+F34+F36</f>
        <v>0</v>
      </c>
      <c r="G38" s="61"/>
      <c r="H38" s="77">
        <f>F38/12</f>
        <v>0</v>
      </c>
      <c r="I38" s="100"/>
      <c r="J38" s="111"/>
      <c r="K38" s="100"/>
      <c r="L38" s="182">
        <f>L30+L32+L34+L36</f>
        <v>10073.334102030949</v>
      </c>
      <c r="M38" s="78"/>
      <c r="N38" s="13">
        <f>L38-F38</f>
        <v>10073.334102030949</v>
      </c>
      <c r="O38" s="78">
        <f>L38/12</f>
        <v>839.44450850257908</v>
      </c>
      <c r="P38" s="52"/>
      <c r="Q38" s="182">
        <f>Q30+Q32+Q34+Q36</f>
        <v>10367.285662676109</v>
      </c>
      <c r="R38" s="78"/>
      <c r="S38" s="78">
        <f>Q38/12</f>
        <v>863.94047188967579</v>
      </c>
      <c r="T38" s="100"/>
      <c r="U38" s="111"/>
      <c r="V38" s="100"/>
      <c r="W38" s="182">
        <f>W30+W32+W34+W36</f>
        <v>0</v>
      </c>
      <c r="X38" s="78"/>
      <c r="Y38" s="78">
        <f>W38/12</f>
        <v>0</v>
      </c>
      <c r="Z38" s="52"/>
      <c r="AA38" s="182">
        <f>AA30+AA32+AA34+AA36</f>
        <v>0</v>
      </c>
      <c r="AB38" s="78"/>
      <c r="AC38" s="78">
        <f>AA38/12</f>
        <v>0</v>
      </c>
    </row>
    <row r="39" spans="1:29" x14ac:dyDescent="0.35">
      <c r="B39" s="5"/>
      <c r="C39" s="100"/>
      <c r="D39" s="111"/>
      <c r="E39" s="100"/>
      <c r="I39" s="100"/>
      <c r="J39" s="111"/>
      <c r="K39" s="100"/>
      <c r="T39" s="100"/>
      <c r="U39" s="111"/>
      <c r="V39" s="100"/>
    </row>
    <row r="40" spans="1:29" ht="9.75" hidden="1" customHeight="1" x14ac:dyDescent="0.35">
      <c r="B40" s="5"/>
      <c r="C40" s="100"/>
      <c r="D40" s="111"/>
      <c r="E40" s="100"/>
      <c r="I40" s="100"/>
      <c r="J40" s="111"/>
      <c r="K40" s="100"/>
      <c r="T40" s="100"/>
      <c r="U40" s="111"/>
      <c r="V40" s="100"/>
    </row>
    <row r="41" spans="1:29" s="23" customFormat="1" ht="43" customHeight="1" thickBot="1" x14ac:dyDescent="0.55000000000000004">
      <c r="A41" s="1"/>
      <c r="B41" s="24" t="s">
        <v>91</v>
      </c>
      <c r="C41" s="100"/>
      <c r="D41" s="111"/>
      <c r="E41" s="100"/>
      <c r="F41" s="185">
        <f>F20+F26+F38</f>
        <v>0</v>
      </c>
      <c r="G41" s="64"/>
      <c r="H41" s="79">
        <f>F41/12</f>
        <v>0</v>
      </c>
      <c r="I41" s="100"/>
      <c r="J41" s="111"/>
      <c r="K41" s="100"/>
      <c r="L41" s="185">
        <f>L20+L26+L38</f>
        <v>88866.992216611412</v>
      </c>
      <c r="M41" s="64"/>
      <c r="N41" s="14">
        <f>L41-F41</f>
        <v>88866.992216611412</v>
      </c>
      <c r="O41" s="80">
        <f>L41/12</f>
        <v>7405.5826847176177</v>
      </c>
      <c r="P41" s="52"/>
      <c r="Q41" s="185">
        <f>Q20+Q26+Q38</f>
        <v>91960.482450067619</v>
      </c>
      <c r="R41" s="64"/>
      <c r="S41" s="80">
        <f>Q41/12</f>
        <v>7663.3735375056349</v>
      </c>
      <c r="T41" s="100"/>
      <c r="U41" s="111"/>
      <c r="V41" s="100"/>
      <c r="W41" s="185">
        <f>W20+W26+W38</f>
        <v>0</v>
      </c>
      <c r="X41" s="64"/>
      <c r="Y41" s="80">
        <f>W41/12</f>
        <v>0</v>
      </c>
      <c r="Z41" s="52"/>
      <c r="AA41" s="185">
        <f>AA20+AA26+AA38</f>
        <v>0</v>
      </c>
      <c r="AB41" s="64"/>
      <c r="AC41" s="80">
        <f>AA41/12</f>
        <v>0</v>
      </c>
    </row>
    <row r="42" spans="1:29" ht="16" thickTop="1" x14ac:dyDescent="0.35">
      <c r="B42" s="15"/>
      <c r="C42" s="100"/>
      <c r="D42" s="111"/>
      <c r="E42" s="100"/>
      <c r="F42" s="65"/>
      <c r="G42" s="81"/>
      <c r="I42" s="100"/>
      <c r="J42" s="111"/>
      <c r="K42" s="100"/>
      <c r="L42" s="65"/>
      <c r="Q42" s="65"/>
      <c r="T42" s="100"/>
      <c r="U42" s="111"/>
      <c r="V42" s="100"/>
      <c r="W42" s="65"/>
      <c r="AA42" s="65"/>
    </row>
    <row r="43" spans="1:29" ht="32.25" hidden="1" customHeight="1" x14ac:dyDescent="0.35">
      <c r="B43" s="16" t="s">
        <v>12</v>
      </c>
      <c r="C43" s="100"/>
      <c r="D43" s="111"/>
      <c r="E43" s="100"/>
      <c r="F43" s="82"/>
      <c r="I43" s="100"/>
      <c r="J43" s="111"/>
      <c r="K43" s="100"/>
      <c r="T43" s="100"/>
      <c r="U43" s="111"/>
      <c r="V43" s="100"/>
    </row>
    <row r="44" spans="1:29" ht="32.25" customHeight="1" x14ac:dyDescent="0.35">
      <c r="B44" s="16"/>
      <c r="C44" s="100"/>
      <c r="D44" s="111"/>
      <c r="E44" s="100"/>
      <c r="F44" s="82"/>
      <c r="I44" s="100"/>
      <c r="J44" s="111"/>
      <c r="K44" s="100"/>
      <c r="T44" s="100"/>
      <c r="U44" s="111"/>
      <c r="V44" s="100"/>
    </row>
    <row r="45" spans="1:29" ht="20" x14ac:dyDescent="0.4">
      <c r="C45" s="104"/>
      <c r="D45" s="112"/>
      <c r="E45" s="104"/>
      <c r="I45" s="104"/>
      <c r="J45" s="112"/>
      <c r="K45" s="104"/>
      <c r="T45" s="104"/>
      <c r="U45" s="112"/>
      <c r="V45" s="104"/>
    </row>
    <row r="46" spans="1:29" ht="20" x14ac:dyDescent="0.4">
      <c r="B46" s="21" t="s">
        <v>28</v>
      </c>
      <c r="C46" s="100"/>
      <c r="D46" s="111"/>
      <c r="E46" s="100"/>
      <c r="F46" s="62"/>
      <c r="G46" s="62"/>
      <c r="H46" s="83"/>
      <c r="I46" s="100"/>
      <c r="J46" s="111"/>
      <c r="K46" s="100"/>
      <c r="L46" s="62"/>
      <c r="N46" s="84"/>
      <c r="O46" s="68"/>
      <c r="Q46" s="62"/>
      <c r="S46" s="68"/>
      <c r="T46" s="100"/>
      <c r="U46" s="111"/>
      <c r="V46" s="100"/>
      <c r="W46" s="62"/>
      <c r="Y46" s="68"/>
      <c r="AA46" s="62"/>
      <c r="AC46" s="68"/>
    </row>
    <row r="47" spans="1:29" ht="24" customHeight="1" x14ac:dyDescent="0.4">
      <c r="A47" s="25" t="s">
        <v>33</v>
      </c>
      <c r="B47" s="5" t="s">
        <v>60</v>
      </c>
      <c r="C47" s="100"/>
      <c r="D47" s="111"/>
      <c r="E47" s="100"/>
      <c r="F47" s="57"/>
      <c r="H47" s="50"/>
      <c r="I47" s="100"/>
      <c r="J47" s="111"/>
      <c r="K47" s="100"/>
      <c r="L47" s="57"/>
      <c r="O47" s="9"/>
      <c r="Q47" s="57"/>
      <c r="S47" s="9"/>
      <c r="T47" s="100"/>
      <c r="U47" s="111"/>
      <c r="V47" s="100"/>
      <c r="W47" s="57"/>
      <c r="AA47" s="57"/>
    </row>
    <row r="48" spans="1:29" ht="24" customHeight="1" x14ac:dyDescent="0.4">
      <c r="A48" s="25" t="s">
        <v>34</v>
      </c>
      <c r="B48" s="5" t="s">
        <v>29</v>
      </c>
      <c r="C48" s="100"/>
      <c r="D48" s="111"/>
      <c r="E48" s="100"/>
      <c r="F48" s="57"/>
      <c r="G48" s="85"/>
      <c r="H48" s="50"/>
      <c r="I48" s="100"/>
      <c r="J48" s="111"/>
      <c r="K48" s="100"/>
      <c r="L48" s="57"/>
      <c r="O48" s="9"/>
      <c r="Q48" s="57"/>
      <c r="S48" s="9"/>
      <c r="T48" s="100"/>
      <c r="U48" s="111"/>
      <c r="V48" s="100"/>
      <c r="W48" s="57"/>
      <c r="AA48" s="57"/>
    </row>
    <row r="49" spans="1:29" ht="24" customHeight="1" x14ac:dyDescent="0.4">
      <c r="A49" s="25" t="s">
        <v>35</v>
      </c>
      <c r="B49" s="5" t="s">
        <v>30</v>
      </c>
      <c r="C49" s="63"/>
      <c r="D49" s="111"/>
      <c r="E49" s="63"/>
      <c r="F49" s="57"/>
      <c r="G49" s="63"/>
      <c r="H49" s="50"/>
      <c r="I49" s="63"/>
      <c r="J49" s="111"/>
      <c r="K49" s="63"/>
      <c r="L49" s="57"/>
      <c r="O49" s="9"/>
      <c r="Q49" s="57"/>
      <c r="S49" s="9"/>
      <c r="T49" s="63"/>
      <c r="U49" s="111"/>
      <c r="V49" s="63"/>
      <c r="W49" s="57"/>
      <c r="AA49" s="57"/>
    </row>
    <row r="50" spans="1:29" ht="24" customHeight="1" x14ac:dyDescent="0.4">
      <c r="A50" s="25" t="s">
        <v>36</v>
      </c>
      <c r="B50" s="5" t="s">
        <v>31</v>
      </c>
      <c r="C50" s="100"/>
      <c r="D50" s="111"/>
      <c r="E50" s="100"/>
      <c r="F50" s="106"/>
      <c r="G50" s="63"/>
      <c r="H50" s="63"/>
      <c r="I50" s="100"/>
      <c r="J50" s="111"/>
      <c r="K50" s="100"/>
      <c r="L50" s="106"/>
      <c r="M50" s="63"/>
      <c r="N50" s="63"/>
      <c r="O50" s="63"/>
      <c r="P50" s="63"/>
      <c r="Q50" s="106"/>
      <c r="S50" s="9"/>
      <c r="T50" s="100"/>
      <c r="U50" s="111"/>
      <c r="V50" s="100"/>
      <c r="W50" s="57"/>
      <c r="AA50" s="57"/>
    </row>
    <row r="51" spans="1:29" ht="24" customHeight="1" x14ac:dyDescent="0.4">
      <c r="A51" s="25" t="s">
        <v>37</v>
      </c>
      <c r="B51" s="5" t="s">
        <v>32</v>
      </c>
      <c r="C51" s="105"/>
      <c r="D51" s="111"/>
      <c r="E51" s="105"/>
      <c r="F51" s="57"/>
      <c r="G51" s="55"/>
      <c r="H51" s="50"/>
      <c r="I51" s="105"/>
      <c r="J51" s="111"/>
      <c r="K51" s="105"/>
      <c r="L51" s="57"/>
      <c r="O51" s="9"/>
      <c r="Q51" s="57"/>
      <c r="S51" s="9"/>
      <c r="T51" s="105"/>
      <c r="U51" s="111"/>
      <c r="V51" s="105"/>
      <c r="W51" s="57"/>
      <c r="AA51" s="57"/>
    </row>
    <row r="52" spans="1:29" ht="18" x14ac:dyDescent="0.4">
      <c r="A52" s="25"/>
      <c r="B52" s="2"/>
      <c r="F52" s="63"/>
      <c r="G52" s="63"/>
      <c r="H52" s="63"/>
      <c r="L52" s="63"/>
      <c r="M52" s="63"/>
      <c r="N52" s="63"/>
      <c r="O52" s="63"/>
      <c r="P52" s="63"/>
      <c r="Q52" s="63"/>
      <c r="S52" s="9"/>
    </row>
    <row r="53" spans="1:29" ht="18" x14ac:dyDescent="0.4">
      <c r="A53" s="25"/>
      <c r="B53" s="1" t="s">
        <v>66</v>
      </c>
      <c r="F53" s="106"/>
      <c r="G53" s="1"/>
      <c r="H53" s="51"/>
      <c r="L53" s="106"/>
      <c r="M53" s="1"/>
      <c r="N53" s="3"/>
      <c r="O53" s="6"/>
      <c r="P53" s="1"/>
      <c r="Q53" s="106"/>
      <c r="R53" s="1"/>
      <c r="S53" s="6"/>
      <c r="W53" s="57"/>
      <c r="X53" s="1"/>
      <c r="Y53" s="10"/>
      <c r="Z53" s="1"/>
      <c r="AA53" s="57"/>
      <c r="AB53" s="1"/>
      <c r="AC53" s="10"/>
    </row>
    <row r="54" spans="1:29" ht="18" x14ac:dyDescent="0.4">
      <c r="B54" s="1" t="s">
        <v>86</v>
      </c>
      <c r="F54" s="106"/>
      <c r="L54" s="106"/>
      <c r="Q54" s="106"/>
      <c r="W54" s="57"/>
      <c r="AA54" s="57"/>
    </row>
  </sheetData>
  <pageMargins left="0.5" right="0.5" top="0.75" bottom="0.75" header="0.3" footer="0.3"/>
  <pageSetup scale="46" orientation="landscape" horizontalDpi="4294967293" verticalDpi="4294967293" r:id="rId1"/>
  <headerFooter>
    <oddHeader>&amp;C&amp;"Times New Roman,Bold"&amp;24 2025&amp;"Times New Roman,Regular" Compensation Worksheet for Ministers
Parsonage IS Provided</oddHeader>
    <oddFooter xml:space="preserve">&amp;LPortico Benefit Services:  1-800-352-2876 (M-F)
https://porticobenefits.org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FA04-FA5F-4ACB-A350-C8A8AA95A6CA}">
  <sheetPr>
    <pageSetUpPr fitToPage="1"/>
  </sheetPr>
  <dimension ref="A1:BQ54"/>
  <sheetViews>
    <sheetView view="pageBreakPreview" topLeftCell="A2" zoomScale="60" zoomScaleNormal="60" zoomScalePageLayoutView="70" workbookViewId="0">
      <selection activeCell="L5" sqref="L5"/>
    </sheetView>
  </sheetViews>
  <sheetFormatPr defaultColWidth="9.1796875" defaultRowHeight="15.5" x14ac:dyDescent="0.35"/>
  <cols>
    <col min="1" max="1" width="9.1796875" style="1"/>
    <col min="2" max="2" width="47.6328125" style="1" customWidth="1"/>
    <col min="3" max="3" width="2.6328125" style="103" customWidth="1"/>
    <col min="4" max="4" width="1.90625" style="109" customWidth="1"/>
    <col min="5" max="5" width="2.6328125" style="103" customWidth="1"/>
    <col min="6" max="6" width="21.6328125" style="52" customWidth="1"/>
    <col min="7" max="7" width="1.54296875" style="52" customWidth="1"/>
    <col min="8" max="8" width="12.453125" style="48" customWidth="1"/>
    <col min="9" max="9" width="2.6328125" style="103" customWidth="1"/>
    <col min="10" max="10" width="1.90625" style="109" customWidth="1"/>
    <col min="11" max="11" width="2.6328125" style="103" customWidth="1"/>
    <col min="12" max="12" width="21.6328125" style="52" customWidth="1"/>
    <col min="13" max="13" width="1.81640625" style="52" customWidth="1"/>
    <col min="14" max="14" width="10.453125" style="9" hidden="1" customWidth="1"/>
    <col min="15" max="15" width="12.36328125" style="52" customWidth="1"/>
    <col min="16" max="16" width="5.6328125" style="52" customWidth="1"/>
    <col min="17" max="17" width="21.6328125" style="52" customWidth="1"/>
    <col min="18" max="18" width="1.81640625" style="52" customWidth="1"/>
    <col min="19" max="19" width="12.36328125" style="52" customWidth="1"/>
    <col min="20" max="20" width="2.6328125" style="103" customWidth="1"/>
    <col min="21" max="21" width="1.90625" style="109" customWidth="1"/>
    <col min="22" max="22" width="2.6328125" style="103" customWidth="1"/>
    <col min="23" max="23" width="21.6328125" style="52" customWidth="1"/>
    <col min="24" max="24" width="1.81640625" style="52" customWidth="1"/>
    <col min="25" max="25" width="16.36328125" style="52" customWidth="1"/>
    <col min="26" max="26" width="5.6328125" style="52" customWidth="1"/>
    <col min="27" max="27" width="21.6328125" style="52" customWidth="1"/>
    <col min="28" max="28" width="1.81640625" style="52" customWidth="1"/>
    <col min="29" max="29" width="16.1796875" style="52" customWidth="1"/>
    <col min="30" max="30" width="1.90625" style="109" customWidth="1"/>
    <col min="31" max="31" width="21.6328125" style="52" customWidth="1"/>
    <col min="32" max="32" width="1.81640625" style="52" customWidth="1"/>
    <col min="33" max="33" width="12.54296875" style="52" customWidth="1"/>
    <col min="34" max="16384" width="9.1796875" style="1"/>
  </cols>
  <sheetData>
    <row r="1" spans="1:34" ht="17.5" x14ac:dyDescent="0.35">
      <c r="A1" s="25"/>
      <c r="C1" s="2"/>
      <c r="D1" s="1"/>
      <c r="E1" s="1"/>
      <c r="F1" s="135"/>
      <c r="G1" s="134"/>
      <c r="H1" s="1"/>
      <c r="I1" s="134"/>
      <c r="K1" s="1"/>
      <c r="L1" s="3"/>
      <c r="M1" s="6"/>
      <c r="N1" s="1"/>
      <c r="O1" s="1"/>
      <c r="P1" s="1"/>
      <c r="Q1" s="6"/>
      <c r="R1" s="6"/>
      <c r="S1" s="6"/>
      <c r="T1" s="6"/>
      <c r="V1" s="1"/>
      <c r="W1" s="1"/>
      <c r="X1" s="10"/>
      <c r="Y1" s="1"/>
      <c r="Z1" s="1"/>
      <c r="AA1" s="1"/>
      <c r="AB1" s="10"/>
      <c r="AC1" s="1"/>
      <c r="AE1" s="1"/>
      <c r="AF1" s="10"/>
      <c r="AG1" s="1"/>
    </row>
    <row r="2" spans="1:34" s="25" customFormat="1" ht="97" customHeight="1" x14ac:dyDescent="0.35">
      <c r="B2" s="294" t="s">
        <v>99</v>
      </c>
      <c r="C2" s="294"/>
      <c r="D2" s="294"/>
      <c r="E2" s="294"/>
      <c r="F2" s="294"/>
      <c r="G2" s="198"/>
      <c r="I2" s="198"/>
      <c r="J2" s="199"/>
      <c r="L2" s="292" t="s">
        <v>139</v>
      </c>
      <c r="M2" s="292"/>
      <c r="N2" s="292"/>
      <c r="O2" s="292"/>
      <c r="P2" s="292"/>
      <c r="Q2" s="292"/>
      <c r="R2" s="292"/>
      <c r="S2" s="292"/>
      <c r="T2" s="200"/>
      <c r="U2" s="199"/>
      <c r="W2" s="292" t="s">
        <v>148</v>
      </c>
      <c r="X2" s="292"/>
      <c r="Y2" s="292"/>
      <c r="AA2" s="292" t="s">
        <v>149</v>
      </c>
      <c r="AB2" s="292"/>
      <c r="AC2" s="292"/>
      <c r="AD2" s="199"/>
      <c r="AE2" s="292" t="s">
        <v>145</v>
      </c>
      <c r="AF2" s="292"/>
      <c r="AG2" s="292"/>
      <c r="AH2" s="292"/>
    </row>
    <row r="3" spans="1:34" x14ac:dyDescent="0.35">
      <c r="C3" s="101"/>
      <c r="E3" s="101"/>
      <c r="I3" s="101"/>
      <c r="K3" s="101"/>
      <c r="T3" s="101"/>
      <c r="V3" s="101"/>
    </row>
    <row r="4" spans="1:34" ht="20.25" customHeight="1" x14ac:dyDescent="0.45">
      <c r="A4" s="4"/>
      <c r="B4" s="47" t="s">
        <v>42</v>
      </c>
      <c r="C4" s="102"/>
      <c r="D4" s="110"/>
      <c r="E4" s="102"/>
      <c r="F4" s="116"/>
      <c r="G4" s="53"/>
      <c r="H4" s="49"/>
      <c r="I4" s="102"/>
      <c r="J4" s="110"/>
      <c r="K4" s="102"/>
      <c r="L4" s="116">
        <v>2007</v>
      </c>
      <c r="M4" s="53"/>
      <c r="N4" s="53"/>
      <c r="O4" s="66"/>
      <c r="Q4" s="67"/>
      <c r="R4" s="67"/>
      <c r="S4" s="68"/>
      <c r="T4" s="102"/>
      <c r="U4" s="110"/>
      <c r="V4" s="102"/>
      <c r="W4" s="136">
        <v>2020</v>
      </c>
      <c r="X4" s="67"/>
      <c r="Y4" s="68"/>
      <c r="AA4" s="137">
        <v>2015</v>
      </c>
      <c r="AB4" s="67"/>
      <c r="AC4" s="68"/>
      <c r="AD4" s="110"/>
      <c r="AE4" s="190">
        <v>2015</v>
      </c>
      <c r="AF4" s="67"/>
      <c r="AG4" s="68"/>
    </row>
    <row r="5" spans="1:34" ht="20.25" customHeight="1" x14ac:dyDescent="0.45">
      <c r="A5" s="4"/>
      <c r="B5" s="2" t="s">
        <v>95</v>
      </c>
      <c r="C5" s="102"/>
      <c r="D5" s="110"/>
      <c r="E5" s="102"/>
      <c r="F5" s="191"/>
      <c r="G5" s="53"/>
      <c r="H5" s="49"/>
      <c r="I5" s="102"/>
      <c r="J5" s="110"/>
      <c r="K5" s="102"/>
      <c r="L5" s="191">
        <v>1800</v>
      </c>
      <c r="M5" s="53"/>
      <c r="N5" s="53"/>
      <c r="O5" s="66"/>
      <c r="Q5" s="67"/>
      <c r="R5" s="67"/>
      <c r="S5" s="68"/>
      <c r="T5" s="102"/>
      <c r="U5" s="110"/>
      <c r="V5" s="102"/>
      <c r="W5" s="191">
        <v>1800</v>
      </c>
      <c r="X5" s="67"/>
      <c r="Y5" s="68"/>
      <c r="AA5" s="191">
        <v>1800</v>
      </c>
      <c r="AB5" s="67"/>
      <c r="AC5" s="68"/>
      <c r="AD5" s="110"/>
      <c r="AE5" s="191">
        <v>1800</v>
      </c>
      <c r="AF5" s="67"/>
      <c r="AG5" s="68"/>
    </row>
    <row r="6" spans="1:34" ht="20.25" customHeight="1" x14ac:dyDescent="0.45">
      <c r="A6" s="4"/>
      <c r="B6" s="189" t="s">
        <v>93</v>
      </c>
      <c r="C6" s="102"/>
      <c r="D6" s="110"/>
      <c r="E6" s="102"/>
      <c r="F6" s="194"/>
      <c r="G6" s="53"/>
      <c r="H6" s="49"/>
      <c r="I6" s="102"/>
      <c r="J6" s="110"/>
      <c r="K6" s="102"/>
      <c r="L6" s="194">
        <v>1</v>
      </c>
      <c r="M6" s="53"/>
      <c r="N6" s="53"/>
      <c r="O6" s="66"/>
      <c r="Q6" s="67"/>
      <c r="R6" s="67"/>
      <c r="S6" s="68"/>
      <c r="T6" s="102"/>
      <c r="U6" s="110"/>
      <c r="V6" s="102"/>
      <c r="W6" s="194">
        <v>1</v>
      </c>
      <c r="X6" s="67"/>
      <c r="Y6" s="68"/>
      <c r="AA6" s="194">
        <v>1</v>
      </c>
      <c r="AB6" s="67"/>
      <c r="AC6" s="68"/>
      <c r="AD6" s="110"/>
      <c r="AE6" s="194">
        <v>0.5</v>
      </c>
      <c r="AF6" s="67"/>
      <c r="AG6" s="68"/>
    </row>
    <row r="7" spans="1:34" ht="20.25" customHeight="1" x14ac:dyDescent="0.45">
      <c r="A7" s="4"/>
      <c r="B7" s="189" t="s">
        <v>92</v>
      </c>
      <c r="C7" s="102"/>
      <c r="D7" s="110"/>
      <c r="E7" s="102"/>
      <c r="F7" s="192"/>
      <c r="G7" s="53"/>
      <c r="H7" s="49"/>
      <c r="I7" s="102"/>
      <c r="J7" s="110"/>
      <c r="K7" s="102"/>
      <c r="L7" s="192"/>
      <c r="M7" s="53"/>
      <c r="N7" s="53"/>
      <c r="O7" s="66"/>
      <c r="Q7" s="67"/>
      <c r="R7" s="67"/>
      <c r="S7" s="68"/>
      <c r="T7" s="102"/>
      <c r="U7" s="110"/>
      <c r="V7" s="102"/>
      <c r="W7" s="192"/>
      <c r="X7" s="67"/>
      <c r="Y7" s="68"/>
      <c r="AA7" s="192"/>
      <c r="AB7" s="67"/>
      <c r="AC7" s="68"/>
      <c r="AD7" s="110"/>
      <c r="AE7" s="192">
        <v>0.12</v>
      </c>
      <c r="AF7" s="67"/>
      <c r="AG7" s="68"/>
    </row>
    <row r="8" spans="1:34" ht="20.25" customHeight="1" x14ac:dyDescent="0.45">
      <c r="A8" s="4"/>
      <c r="B8" s="189"/>
      <c r="C8" s="102"/>
      <c r="D8" s="110"/>
      <c r="E8" s="102"/>
      <c r="F8" s="195"/>
      <c r="G8" s="53"/>
      <c r="H8" s="49"/>
      <c r="I8" s="102"/>
      <c r="J8" s="110"/>
      <c r="K8" s="102"/>
      <c r="L8" s="196"/>
      <c r="M8" s="53"/>
      <c r="N8" s="53"/>
      <c r="O8" s="66"/>
      <c r="Q8" s="196"/>
      <c r="R8" s="67"/>
      <c r="S8" s="68"/>
      <c r="T8" s="102"/>
      <c r="U8" s="110"/>
      <c r="V8" s="102"/>
      <c r="W8" s="197"/>
      <c r="X8" s="67"/>
      <c r="Y8" s="68"/>
      <c r="AA8" s="196"/>
      <c r="AB8" s="67"/>
      <c r="AC8" s="68"/>
      <c r="AD8" s="110"/>
      <c r="AE8" s="196"/>
      <c r="AF8" s="67"/>
      <c r="AG8" s="68"/>
    </row>
    <row r="9" spans="1:34" ht="50" x14ac:dyDescent="0.5">
      <c r="C9" s="102"/>
      <c r="D9" s="110"/>
      <c r="E9" s="102"/>
      <c r="F9" s="54" t="s">
        <v>39</v>
      </c>
      <c r="G9" s="69"/>
      <c r="H9" s="70" t="s">
        <v>98</v>
      </c>
      <c r="I9" s="102"/>
      <c r="J9" s="110"/>
      <c r="K9" s="102"/>
      <c r="L9" s="54" t="s">
        <v>146</v>
      </c>
      <c r="N9" s="71" t="s">
        <v>0</v>
      </c>
      <c r="O9" s="72" t="s">
        <v>24</v>
      </c>
      <c r="Q9" s="54" t="s">
        <v>147</v>
      </c>
      <c r="S9" s="72" t="s">
        <v>25</v>
      </c>
      <c r="T9" s="102"/>
      <c r="U9" s="110"/>
      <c r="V9" s="102"/>
      <c r="W9" s="289" t="s">
        <v>140</v>
      </c>
      <c r="Y9" s="290" t="s">
        <v>143</v>
      </c>
      <c r="AA9" s="289" t="s">
        <v>141</v>
      </c>
      <c r="AC9" s="290" t="s">
        <v>144</v>
      </c>
      <c r="AD9" s="110"/>
      <c r="AE9" s="289" t="s">
        <v>142</v>
      </c>
      <c r="AG9" s="290" t="s">
        <v>144</v>
      </c>
    </row>
    <row r="10" spans="1:34" ht="24" customHeight="1" x14ac:dyDescent="0.4">
      <c r="B10" s="20" t="s">
        <v>1</v>
      </c>
      <c r="C10" s="99"/>
      <c r="E10" s="99"/>
      <c r="I10" s="99"/>
      <c r="K10" s="99"/>
      <c r="T10" s="99"/>
      <c r="V10" s="99"/>
    </row>
    <row r="11" spans="1:34" ht="23" x14ac:dyDescent="0.5">
      <c r="A11" s="1" t="s">
        <v>2</v>
      </c>
      <c r="B11" s="5" t="s">
        <v>3</v>
      </c>
      <c r="F11" s="188"/>
      <c r="G11" s="73"/>
      <c r="H11" s="48">
        <f>F11/12</f>
        <v>0</v>
      </c>
      <c r="L11" s="186">
        <f>VLOOKUP(L4,'2027 Minister Salary Table'!B4:C44,2,FALSE)*MIN(1,L6)</f>
        <v>62032.656938246088</v>
      </c>
      <c r="N11" s="9">
        <f>L11-F11</f>
        <v>62032.656938246088</v>
      </c>
      <c r="O11" s="52">
        <f>L11/12</f>
        <v>5169.388078187174</v>
      </c>
      <c r="Q11" s="186">
        <f>VLOOKUP(L4,'2027 Minister Salary Table'!B4:E44,4,FALSE)*MIN(1,L6)</f>
        <v>64014.600327423046</v>
      </c>
      <c r="S11" s="52">
        <f>Q11/12</f>
        <v>5334.5500272852541</v>
      </c>
      <c r="W11" s="187">
        <f>VLOOKUP(W4,'2027 Minister Salary Table'!B4:E44,2,FALSE)*MIN(1,W6)</f>
        <v>52360.812739246045</v>
      </c>
      <c r="Y11" s="52">
        <f>W11/12</f>
        <v>4363.4010616038368</v>
      </c>
      <c r="AA11" s="222">
        <f>VLOOKUP(AA4,'2027 Minister Salary Table'!B4:E44,4,FALSE)*MIN(1,AA6)</f>
        <v>58303.759896667631</v>
      </c>
      <c r="AC11" s="52">
        <f>AA11/12</f>
        <v>4858.6466580556362</v>
      </c>
      <c r="AE11" s="221">
        <f>VLOOKUP(AE4,'2027 Minister Salary Table'!B4:E44,2,FALSE)*MIN(1,AE6)</f>
        <v>28151.651761256377</v>
      </c>
      <c r="AG11" s="52">
        <f>AE11/12</f>
        <v>2345.9709801046979</v>
      </c>
    </row>
    <row r="12" spans="1:34" ht="10" customHeight="1" x14ac:dyDescent="0.4">
      <c r="B12" s="7"/>
      <c r="C12" s="100"/>
      <c r="D12" s="111"/>
      <c r="E12" s="100"/>
      <c r="F12" s="55"/>
      <c r="G12" s="55"/>
      <c r="I12" s="100"/>
      <c r="J12" s="111"/>
      <c r="K12" s="100"/>
      <c r="L12" s="55"/>
      <c r="Q12" s="55"/>
      <c r="T12" s="100"/>
      <c r="U12" s="111"/>
      <c r="V12" s="100"/>
      <c r="W12" s="55"/>
      <c r="AA12" s="55"/>
      <c r="AD12" s="111"/>
      <c r="AE12" s="55"/>
    </row>
    <row r="13" spans="1:34" ht="18" x14ac:dyDescent="0.4">
      <c r="A13" s="1" t="s">
        <v>4</v>
      </c>
      <c r="B13" s="5" t="s">
        <v>58</v>
      </c>
      <c r="C13" s="100"/>
      <c r="D13" s="111"/>
      <c r="E13" s="100"/>
      <c r="F13" s="52">
        <f>F11*0.3</f>
        <v>0</v>
      </c>
      <c r="G13" s="55"/>
      <c r="H13" s="48">
        <f>F13/12</f>
        <v>0</v>
      </c>
      <c r="I13" s="100"/>
      <c r="J13" s="111"/>
      <c r="K13" s="100"/>
      <c r="L13" s="52">
        <f>L11*0.3</f>
        <v>18609.797081473826</v>
      </c>
      <c r="N13" s="9">
        <f>L13-F13</f>
        <v>18609.797081473826</v>
      </c>
      <c r="O13" s="52">
        <f>L13/12</f>
        <v>1550.8164234561521</v>
      </c>
      <c r="Q13" s="52">
        <f>Q11*0.3</f>
        <v>19204.380098226913</v>
      </c>
      <c r="S13" s="52">
        <f>Q13/12</f>
        <v>1600.365008185576</v>
      </c>
      <c r="T13" s="100"/>
      <c r="U13" s="111"/>
      <c r="V13" s="100"/>
      <c r="W13" s="52">
        <f>W11*0.3</f>
        <v>15708.243821773813</v>
      </c>
      <c r="Y13" s="52">
        <f>W13/12</f>
        <v>1309.020318481151</v>
      </c>
      <c r="AA13" s="52">
        <f>AA11*0.3</f>
        <v>17491.127969000288</v>
      </c>
      <c r="AC13" s="52">
        <f>AA13/12</f>
        <v>1457.5939974166906</v>
      </c>
      <c r="AD13" s="111"/>
      <c r="AE13" s="52">
        <f>AE11*0.3</f>
        <v>8445.4955283769123</v>
      </c>
      <c r="AG13" s="52">
        <f>AE13/12</f>
        <v>703.79129403140939</v>
      </c>
    </row>
    <row r="14" spans="1:34" x14ac:dyDescent="0.35">
      <c r="B14" s="108" t="s">
        <v>5</v>
      </c>
      <c r="C14" s="100"/>
      <c r="D14" s="111"/>
      <c r="E14" s="100"/>
      <c r="F14" s="74"/>
      <c r="G14" s="56"/>
      <c r="I14" s="100"/>
      <c r="J14" s="111"/>
      <c r="K14" s="100"/>
      <c r="L14" s="56"/>
      <c r="Q14" s="56"/>
      <c r="T14" s="100"/>
      <c r="U14" s="111"/>
      <c r="V14" s="100"/>
      <c r="W14" s="56"/>
      <c r="AA14" s="56"/>
      <c r="AD14" s="111"/>
      <c r="AE14" s="56"/>
    </row>
    <row r="15" spans="1:34" ht="10" customHeight="1" x14ac:dyDescent="0.35">
      <c r="B15" s="8"/>
      <c r="C15" s="100"/>
      <c r="D15" s="111"/>
      <c r="E15" s="100"/>
      <c r="F15" s="74"/>
      <c r="G15" s="56"/>
      <c r="I15" s="100"/>
      <c r="J15" s="111"/>
      <c r="K15" s="100"/>
      <c r="L15" s="56"/>
      <c r="Q15" s="56"/>
      <c r="T15" s="100"/>
      <c r="U15" s="111"/>
      <c r="V15" s="100"/>
      <c r="W15" s="56"/>
      <c r="AA15" s="56"/>
      <c r="AD15" s="111"/>
      <c r="AE15" s="56"/>
    </row>
    <row r="16" spans="1:34" ht="18" x14ac:dyDescent="0.4">
      <c r="A16" s="1" t="s">
        <v>6</v>
      </c>
      <c r="B16" s="5" t="s">
        <v>13</v>
      </c>
      <c r="C16" s="100"/>
      <c r="D16" s="111"/>
      <c r="E16" s="100"/>
      <c r="F16" s="133"/>
      <c r="G16" s="56"/>
      <c r="H16" s="48">
        <f>F16/12</f>
        <v>0</v>
      </c>
      <c r="I16" s="100"/>
      <c r="J16" s="111"/>
      <c r="K16" s="100"/>
      <c r="L16" s="125"/>
      <c r="O16" s="52">
        <f>L16/12</f>
        <v>0</v>
      </c>
      <c r="Q16" s="125"/>
      <c r="S16" s="52">
        <f>Q16/12</f>
        <v>0</v>
      </c>
      <c r="T16" s="100"/>
      <c r="U16" s="111"/>
      <c r="V16" s="100"/>
      <c r="W16" s="125"/>
      <c r="Y16" s="52">
        <f>W16/12</f>
        <v>0</v>
      </c>
      <c r="AA16" s="125">
        <v>2000</v>
      </c>
      <c r="AC16" s="52">
        <f>AA16/12</f>
        <v>166.66666666666666</v>
      </c>
      <c r="AD16" s="111"/>
      <c r="AE16" s="125">
        <v>0</v>
      </c>
      <c r="AG16" s="52">
        <f>AE16/12</f>
        <v>0</v>
      </c>
    </row>
    <row r="17" spans="1:69" ht="10" customHeight="1" x14ac:dyDescent="0.35">
      <c r="C17" s="100"/>
      <c r="D17" s="111"/>
      <c r="E17" s="100"/>
      <c r="F17" s="74"/>
      <c r="G17" s="56"/>
      <c r="I17" s="100"/>
      <c r="J17" s="111"/>
      <c r="K17" s="100"/>
      <c r="L17" s="56"/>
      <c r="Q17" s="56"/>
      <c r="T17" s="100"/>
      <c r="U17" s="111"/>
      <c r="V17" s="100"/>
      <c r="W17" s="56"/>
      <c r="AA17" s="56"/>
      <c r="AD17" s="111"/>
      <c r="AE17" s="56"/>
    </row>
    <row r="18" spans="1:69" s="18" customFormat="1" ht="18" x14ac:dyDescent="0.4">
      <c r="A18" s="1" t="s">
        <v>7</v>
      </c>
      <c r="B18" s="5" t="s">
        <v>59</v>
      </c>
      <c r="C18" s="100"/>
      <c r="D18" s="111"/>
      <c r="E18" s="100"/>
      <c r="F18" s="55">
        <f>(F11+F13+F16)*7.65%</f>
        <v>0</v>
      </c>
      <c r="G18" s="55"/>
      <c r="H18" s="48">
        <f>F18/12</f>
        <v>0</v>
      </c>
      <c r="I18" s="100"/>
      <c r="J18" s="111"/>
      <c r="K18" s="100"/>
      <c r="L18" s="55">
        <f>(L11+L13+L16)*7.65%</f>
        <v>6169.1477325085725</v>
      </c>
      <c r="M18" s="52"/>
      <c r="N18" s="9">
        <f>L18-F18</f>
        <v>6169.1477325085725</v>
      </c>
      <c r="O18" s="52">
        <f>L18/12</f>
        <v>514.09564437571441</v>
      </c>
      <c r="P18" s="52"/>
      <c r="Q18" s="55">
        <f>(Q11+Q13+Q16)*7.65%</f>
        <v>6366.2520025622216</v>
      </c>
      <c r="R18" s="52"/>
      <c r="S18" s="52">
        <f>Q18/12</f>
        <v>530.52100021351851</v>
      </c>
      <c r="T18" s="100"/>
      <c r="U18" s="111"/>
      <c r="V18" s="100"/>
      <c r="W18" s="55">
        <f>(W11+W13+W16)*7.65%</f>
        <v>5207.2828269180191</v>
      </c>
      <c r="X18" s="52"/>
      <c r="Y18" s="52">
        <f>W18/12</f>
        <v>433.94023557650161</v>
      </c>
      <c r="Z18" s="52"/>
      <c r="AA18" s="55">
        <f>(AA11+AA13+AA16)*7.65%</f>
        <v>5951.3089217235956</v>
      </c>
      <c r="AB18" s="52"/>
      <c r="AC18" s="52">
        <f>AA18/12</f>
        <v>495.94241014363297</v>
      </c>
      <c r="AD18" s="111"/>
      <c r="AE18" s="55">
        <f>(AE11+AE13+AE16)*7.65%</f>
        <v>2799.6817676569462</v>
      </c>
      <c r="AF18" s="52"/>
      <c r="AG18" s="52">
        <f>AE18/12</f>
        <v>233.3068139714122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</row>
    <row r="19" spans="1:69" s="46" customFormat="1" ht="20.5" x14ac:dyDescent="0.45">
      <c r="A19" s="1"/>
      <c r="B19" s="22" t="s">
        <v>38</v>
      </c>
      <c r="C19" s="100"/>
      <c r="D19" s="111"/>
      <c r="E19" s="100"/>
      <c r="F19" s="58"/>
      <c r="G19" s="58"/>
      <c r="H19" s="75"/>
      <c r="I19" s="100"/>
      <c r="J19" s="111"/>
      <c r="K19" s="100"/>
      <c r="L19" s="58"/>
      <c r="M19" s="76"/>
      <c r="N19" s="17"/>
      <c r="O19" s="76"/>
      <c r="P19" s="52"/>
      <c r="Q19" s="58"/>
      <c r="R19" s="76"/>
      <c r="S19" s="76"/>
      <c r="T19" s="100"/>
      <c r="U19" s="111"/>
      <c r="V19" s="100"/>
      <c r="W19" s="58"/>
      <c r="X19" s="76"/>
      <c r="Y19" s="76"/>
      <c r="Z19" s="52"/>
      <c r="AA19" s="58"/>
      <c r="AB19" s="76"/>
      <c r="AC19" s="76"/>
      <c r="AD19" s="111"/>
      <c r="AE19" s="58"/>
      <c r="AF19" s="76"/>
      <c r="AG19" s="76"/>
      <c r="AH19" s="18"/>
      <c r="AI19" s="18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</row>
    <row r="20" spans="1:69" ht="41" x14ac:dyDescent="0.5">
      <c r="A20" s="43" t="s">
        <v>14</v>
      </c>
      <c r="B20" s="44" t="s">
        <v>26</v>
      </c>
      <c r="C20" s="100"/>
      <c r="D20" s="111"/>
      <c r="E20" s="100"/>
      <c r="F20" s="183">
        <f>SUM(F11:F19)</f>
        <v>0</v>
      </c>
      <c r="G20" s="59"/>
      <c r="H20" s="77">
        <f>F20/12</f>
        <v>0</v>
      </c>
      <c r="I20" s="100"/>
      <c r="J20" s="111"/>
      <c r="K20" s="100"/>
      <c r="L20" s="184">
        <f>SUM(L11:L19)</f>
        <v>86811.601752228482</v>
      </c>
      <c r="M20" s="45"/>
      <c r="N20" s="45">
        <f>L20-F20</f>
        <v>86811.601752228482</v>
      </c>
      <c r="O20" s="78">
        <f>L20/12</f>
        <v>7234.3001460190399</v>
      </c>
      <c r="P20" s="113"/>
      <c r="Q20" s="184">
        <f>SUM(Q11:Q19)</f>
        <v>89585.232428212184</v>
      </c>
      <c r="R20" s="45"/>
      <c r="S20" s="78">
        <f>Q20/12</f>
        <v>7465.436035684349</v>
      </c>
      <c r="T20" s="100"/>
      <c r="U20" s="111"/>
      <c r="V20" s="100"/>
      <c r="W20" s="184">
        <f>SUM(W11:W19)</f>
        <v>73276.339387937871</v>
      </c>
      <c r="X20" s="45"/>
      <c r="Y20" s="78">
        <f>W20/12</f>
        <v>6106.3616156614889</v>
      </c>
      <c r="Z20" s="113"/>
      <c r="AA20" s="184">
        <f>SUM(AA11:AA19)</f>
        <v>83746.196787391513</v>
      </c>
      <c r="AB20" s="45"/>
      <c r="AC20" s="78">
        <f>AA20/12</f>
        <v>6978.8497322826261</v>
      </c>
      <c r="AD20" s="111"/>
      <c r="AE20" s="184">
        <f>SUM(AE11:AE19)</f>
        <v>39396.829057290233</v>
      </c>
      <c r="AF20" s="45"/>
      <c r="AG20" s="78">
        <f>AE20/12</f>
        <v>3283.0690881075193</v>
      </c>
      <c r="AH20" s="46"/>
      <c r="AI20" s="46"/>
    </row>
    <row r="21" spans="1:69" ht="30" customHeight="1" x14ac:dyDescent="0.45">
      <c r="B21" s="5"/>
      <c r="C21" s="100"/>
      <c r="D21" s="111"/>
      <c r="E21" s="100"/>
      <c r="F21" s="60"/>
      <c r="G21" s="60"/>
      <c r="I21" s="100"/>
      <c r="J21" s="111"/>
      <c r="K21" s="100"/>
      <c r="L21" s="60"/>
      <c r="Q21" s="60"/>
      <c r="T21" s="100"/>
      <c r="U21" s="111"/>
      <c r="V21" s="100"/>
      <c r="W21" s="60"/>
      <c r="AA21" s="60"/>
      <c r="AD21" s="111"/>
      <c r="AE21" s="60"/>
    </row>
    <row r="22" spans="1:69" s="117" customFormat="1" ht="24" customHeight="1" x14ac:dyDescent="0.45">
      <c r="A22" s="1"/>
      <c r="B22" s="20" t="s">
        <v>20</v>
      </c>
      <c r="C22" s="100"/>
      <c r="D22" s="111"/>
      <c r="E22" s="100"/>
      <c r="F22" s="60"/>
      <c r="G22" s="60"/>
      <c r="H22" s="48"/>
      <c r="I22" s="100"/>
      <c r="J22" s="111"/>
      <c r="K22" s="100"/>
      <c r="L22" s="60"/>
      <c r="M22" s="52"/>
      <c r="N22" s="9"/>
      <c r="O22" s="52"/>
      <c r="P22" s="52"/>
      <c r="Q22" s="60"/>
      <c r="R22" s="52"/>
      <c r="S22" s="52"/>
      <c r="T22" s="100"/>
      <c r="U22" s="111"/>
      <c r="V22" s="100"/>
      <c r="W22" s="60"/>
      <c r="X22" s="52"/>
      <c r="Y22" s="52"/>
      <c r="Z22" s="52"/>
      <c r="AA22" s="60"/>
      <c r="AB22" s="52"/>
      <c r="AC22" s="52"/>
      <c r="AD22" s="111"/>
      <c r="AE22" s="60"/>
      <c r="AF22" s="52"/>
      <c r="AG22" s="52"/>
      <c r="AH22" s="1"/>
      <c r="AI22" s="1"/>
    </row>
    <row r="23" spans="1:69" ht="22.5" x14ac:dyDescent="0.45">
      <c r="A23" s="117" t="s">
        <v>8</v>
      </c>
      <c r="B23" s="118" t="s">
        <v>21</v>
      </c>
      <c r="C23" s="119"/>
      <c r="D23" s="120"/>
      <c r="E23" s="119"/>
      <c r="F23" s="125"/>
      <c r="G23" s="121"/>
      <c r="H23" s="122">
        <f>F23/12</f>
        <v>0</v>
      </c>
      <c r="I23" s="119"/>
      <c r="J23" s="120"/>
      <c r="K23" s="119"/>
      <c r="L23" s="125"/>
      <c r="M23" s="123"/>
      <c r="N23" s="124"/>
      <c r="O23" s="123">
        <f>M23/12</f>
        <v>0</v>
      </c>
      <c r="P23" s="123"/>
      <c r="Q23" s="125"/>
      <c r="R23" s="123"/>
      <c r="S23" s="123">
        <f>Q23/12</f>
        <v>0</v>
      </c>
      <c r="T23" s="119"/>
      <c r="U23" s="120"/>
      <c r="V23" s="119"/>
      <c r="W23" s="125"/>
      <c r="X23" s="123"/>
      <c r="Y23" s="123">
        <f>W23/12</f>
        <v>0</v>
      </c>
      <c r="Z23" s="123"/>
      <c r="AA23" s="125"/>
      <c r="AB23" s="123"/>
      <c r="AC23" s="123">
        <f>AA23/12</f>
        <v>0</v>
      </c>
      <c r="AD23" s="120"/>
      <c r="AE23" s="125"/>
      <c r="AF23" s="123"/>
      <c r="AG23" s="123">
        <f>AE23/12</f>
        <v>0</v>
      </c>
      <c r="AH23" s="117"/>
      <c r="AI23" s="117"/>
    </row>
    <row r="24" spans="1:69" s="131" customFormat="1" ht="10" customHeight="1" x14ac:dyDescent="0.45">
      <c r="A24" s="1"/>
      <c r="B24" s="5"/>
      <c r="C24" s="100"/>
      <c r="D24" s="111"/>
      <c r="E24" s="100"/>
      <c r="F24" s="60"/>
      <c r="G24" s="60"/>
      <c r="H24" s="48"/>
      <c r="I24" s="100"/>
      <c r="J24" s="111"/>
      <c r="K24" s="100"/>
      <c r="L24" s="60"/>
      <c r="M24" s="52"/>
      <c r="N24" s="9"/>
      <c r="O24" s="52"/>
      <c r="P24" s="52"/>
      <c r="Q24" s="60"/>
      <c r="R24" s="52"/>
      <c r="S24" s="52"/>
      <c r="T24" s="100"/>
      <c r="U24" s="111"/>
      <c r="V24" s="100"/>
      <c r="W24" s="60"/>
      <c r="X24" s="52"/>
      <c r="Y24" s="52"/>
      <c r="Z24" s="52"/>
      <c r="AA24" s="60"/>
      <c r="AB24" s="52"/>
      <c r="AC24" s="52"/>
      <c r="AD24" s="111"/>
      <c r="AE24" s="60"/>
      <c r="AF24" s="52"/>
      <c r="AG24" s="52"/>
      <c r="AH24" s="1"/>
      <c r="AI24" s="1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</row>
    <row r="25" spans="1:69" s="19" customFormat="1" ht="22.5" x14ac:dyDescent="0.45">
      <c r="A25" s="117" t="s">
        <v>9</v>
      </c>
      <c r="B25" s="126" t="s">
        <v>22</v>
      </c>
      <c r="C25" s="119"/>
      <c r="D25" s="120"/>
      <c r="E25" s="119"/>
      <c r="F25" s="125"/>
      <c r="G25" s="127"/>
      <c r="H25" s="128">
        <f>F25/12</f>
        <v>0</v>
      </c>
      <c r="I25" s="119"/>
      <c r="J25" s="120"/>
      <c r="K25" s="119"/>
      <c r="L25" s="125"/>
      <c r="M25" s="129"/>
      <c r="N25" s="130"/>
      <c r="O25" s="129">
        <f>M25/12</f>
        <v>0</v>
      </c>
      <c r="P25" s="123"/>
      <c r="Q25" s="125"/>
      <c r="R25" s="129"/>
      <c r="S25" s="129">
        <f>Q25/12</f>
        <v>0</v>
      </c>
      <c r="T25" s="119"/>
      <c r="U25" s="120"/>
      <c r="V25" s="119"/>
      <c r="W25" s="125"/>
      <c r="X25" s="129"/>
      <c r="Y25" s="129">
        <f>W25/12</f>
        <v>0</v>
      </c>
      <c r="Z25" s="123"/>
      <c r="AA25" s="125"/>
      <c r="AB25" s="129"/>
      <c r="AC25" s="129">
        <f>AA25/12</f>
        <v>0</v>
      </c>
      <c r="AD25" s="120"/>
      <c r="AE25" s="125"/>
      <c r="AF25" s="129"/>
      <c r="AG25" s="129">
        <f>AE25/12</f>
        <v>0</v>
      </c>
      <c r="AH25" s="131"/>
      <c r="AI25" s="13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</row>
    <row r="26" spans="1:69" ht="22.5" x14ac:dyDescent="0.45">
      <c r="A26" s="1" t="s">
        <v>10</v>
      </c>
      <c r="B26" s="12" t="s">
        <v>89</v>
      </c>
      <c r="C26" s="100"/>
      <c r="D26" s="111"/>
      <c r="E26" s="100"/>
      <c r="F26" s="182">
        <f>SUM(F23:F25)</f>
        <v>0</v>
      </c>
      <c r="G26" s="61"/>
      <c r="H26" s="77">
        <f>F26/12</f>
        <v>0</v>
      </c>
      <c r="I26" s="100"/>
      <c r="J26" s="111"/>
      <c r="K26" s="100"/>
      <c r="L26" s="182">
        <f>SUM(L23:L25)</f>
        <v>0</v>
      </c>
      <c r="M26" s="78"/>
      <c r="N26" s="13">
        <f>L26-F26</f>
        <v>0</v>
      </c>
      <c r="O26" s="78">
        <f>L26/12</f>
        <v>0</v>
      </c>
      <c r="Q26" s="182">
        <f>SUM(Q23:Q25)</f>
        <v>0</v>
      </c>
      <c r="R26" s="78"/>
      <c r="S26" s="78">
        <f>Q26/12</f>
        <v>0</v>
      </c>
      <c r="T26" s="100"/>
      <c r="U26" s="111"/>
      <c r="V26" s="100"/>
      <c r="W26" s="182">
        <f>SUM(W23:W25)</f>
        <v>0</v>
      </c>
      <c r="X26" s="78"/>
      <c r="Y26" s="78">
        <f>W26/12</f>
        <v>0</v>
      </c>
      <c r="AA26" s="182">
        <f>SUM(AA23:AA25)</f>
        <v>0</v>
      </c>
      <c r="AB26" s="78"/>
      <c r="AC26" s="78">
        <f>AA26/12</f>
        <v>0</v>
      </c>
      <c r="AD26" s="111"/>
      <c r="AE26" s="182">
        <f>SUM(AE23:AE25)</f>
        <v>0</v>
      </c>
      <c r="AF26" s="78"/>
      <c r="AG26" s="78">
        <f>AE26/12</f>
        <v>0</v>
      </c>
      <c r="AH26" s="19"/>
      <c r="AI26" s="19"/>
    </row>
    <row r="27" spans="1:69" ht="18.75" hidden="1" customHeight="1" x14ac:dyDescent="0.35">
      <c r="B27" s="10"/>
      <c r="C27" s="100"/>
      <c r="D27" s="111"/>
      <c r="E27" s="100"/>
      <c r="I27" s="100"/>
      <c r="J27" s="111"/>
      <c r="K27" s="100"/>
      <c r="T27" s="100"/>
      <c r="U27" s="111"/>
      <c r="V27" s="100"/>
      <c r="AD27" s="111"/>
    </row>
    <row r="28" spans="1:69" ht="30" customHeight="1" x14ac:dyDescent="0.35">
      <c r="B28" s="10"/>
      <c r="C28" s="100"/>
      <c r="D28" s="111"/>
      <c r="E28" s="100"/>
      <c r="I28" s="100"/>
      <c r="J28" s="111"/>
      <c r="K28" s="100"/>
      <c r="T28" s="100"/>
      <c r="U28" s="111"/>
      <c r="V28" s="100"/>
      <c r="AD28" s="111"/>
    </row>
    <row r="29" spans="1:69" ht="24" customHeight="1" x14ac:dyDescent="0.4">
      <c r="B29" s="21" t="s">
        <v>27</v>
      </c>
      <c r="C29" s="100"/>
      <c r="D29" s="111"/>
      <c r="E29" s="100"/>
      <c r="F29" s="62"/>
      <c r="G29" s="62"/>
      <c r="I29" s="100"/>
      <c r="J29" s="111"/>
      <c r="K29" s="100"/>
      <c r="L29" s="62"/>
      <c r="Q29" s="62"/>
      <c r="T29" s="100"/>
      <c r="U29" s="111"/>
      <c r="V29" s="100"/>
      <c r="W29" s="62"/>
      <c r="AA29" s="62"/>
      <c r="AD29" s="111"/>
      <c r="AE29" s="62"/>
    </row>
    <row r="30" spans="1:69" ht="18" x14ac:dyDescent="0.4">
      <c r="A30" s="1" t="s">
        <v>16</v>
      </c>
      <c r="B30" s="5" t="s">
        <v>15</v>
      </c>
      <c r="C30" s="100"/>
      <c r="D30" s="111"/>
      <c r="E30" s="100"/>
      <c r="F30" s="63">
        <f>MAX(0.1,F7)*F20</f>
        <v>0</v>
      </c>
      <c r="G30" s="63"/>
      <c r="H30" s="48">
        <f>F30/12</f>
        <v>0</v>
      </c>
      <c r="I30" s="100"/>
      <c r="J30" s="111"/>
      <c r="K30" s="100"/>
      <c r="L30" s="63">
        <f>MAX(0.1,L7)*L20</f>
        <v>8681.1601752228489</v>
      </c>
      <c r="N30" s="9">
        <f>L30-F30</f>
        <v>8681.1601752228489</v>
      </c>
      <c r="O30" s="52">
        <f>L30/12</f>
        <v>723.43001460190408</v>
      </c>
      <c r="Q30" s="63">
        <f>MAX(0.1,Q7)*Q20</f>
        <v>8958.5232428212184</v>
      </c>
      <c r="S30" s="52">
        <f>Q30/12</f>
        <v>746.54360356843483</v>
      </c>
      <c r="T30" s="100"/>
      <c r="U30" s="111"/>
      <c r="V30" s="100"/>
      <c r="W30" s="63">
        <f>MAX(0.1,W7)*W20</f>
        <v>7327.6339387937878</v>
      </c>
      <c r="Y30" s="52">
        <f>W30/12</f>
        <v>610.63616156614899</v>
      </c>
      <c r="AA30" s="63">
        <f>MAX(0.1,AA7)*AA20</f>
        <v>8374.6196787391509</v>
      </c>
      <c r="AC30" s="52">
        <f>AA30/12</f>
        <v>697.88497322826254</v>
      </c>
      <c r="AD30" s="111"/>
      <c r="AE30" s="63">
        <f>MAX(0.1,AE7)*AE20</f>
        <v>4727.619486874828</v>
      </c>
      <c r="AG30" s="52">
        <f>AE30/12</f>
        <v>393.96829057290233</v>
      </c>
    </row>
    <row r="31" spans="1:69" s="117" customFormat="1" ht="10" customHeight="1" x14ac:dyDescent="0.4">
      <c r="A31" s="1"/>
      <c r="B31" s="11"/>
      <c r="C31" s="100"/>
      <c r="D31" s="111"/>
      <c r="E31" s="100"/>
      <c r="F31" s="63"/>
      <c r="G31" s="63"/>
      <c r="H31" s="48"/>
      <c r="I31" s="100"/>
      <c r="J31" s="111"/>
      <c r="K31" s="100"/>
      <c r="L31" s="63"/>
      <c r="M31" s="52"/>
      <c r="N31" s="9"/>
      <c r="O31" s="52"/>
      <c r="P31" s="52"/>
      <c r="Q31" s="63"/>
      <c r="R31" s="52"/>
      <c r="S31" s="52"/>
      <c r="T31" s="100"/>
      <c r="U31" s="111"/>
      <c r="V31" s="100"/>
      <c r="W31" s="63"/>
      <c r="X31" s="52"/>
      <c r="Y31" s="52"/>
      <c r="Z31" s="52"/>
      <c r="AA31" s="63"/>
      <c r="AB31" s="52"/>
      <c r="AC31" s="52"/>
      <c r="AD31" s="111"/>
      <c r="AE31" s="63"/>
      <c r="AF31" s="52"/>
      <c r="AG31" s="52"/>
      <c r="AH31" s="1"/>
      <c r="AI31" s="1"/>
    </row>
    <row r="32" spans="1:69" ht="18" x14ac:dyDescent="0.4">
      <c r="A32" s="117" t="s">
        <v>17</v>
      </c>
      <c r="B32" s="118" t="s">
        <v>150</v>
      </c>
      <c r="C32" s="119"/>
      <c r="D32" s="120"/>
      <c r="E32" s="119"/>
      <c r="F32" s="132"/>
      <c r="G32" s="175"/>
      <c r="H32" s="176">
        <f>F32/12</f>
        <v>0</v>
      </c>
      <c r="I32" s="119"/>
      <c r="J32" s="120"/>
      <c r="K32" s="119"/>
      <c r="L32" s="132">
        <v>24790</v>
      </c>
      <c r="M32" s="123"/>
      <c r="N32" s="124">
        <f>L32-F32</f>
        <v>24790</v>
      </c>
      <c r="O32" s="123">
        <f>L32/12</f>
        <v>2065.8333333333335</v>
      </c>
      <c r="P32" s="123"/>
      <c r="Q32" s="132">
        <v>24790</v>
      </c>
      <c r="R32" s="123"/>
      <c r="S32" s="123">
        <f>Q32/12</f>
        <v>2065.8333333333335</v>
      </c>
      <c r="T32" s="119"/>
      <c r="U32" s="120"/>
      <c r="V32" s="119"/>
      <c r="W32" s="132">
        <v>8780</v>
      </c>
      <c r="X32" s="123"/>
      <c r="Y32" s="123">
        <f>W32/12</f>
        <v>731.66666666666663</v>
      </c>
      <c r="Z32" s="123"/>
      <c r="AA32" s="132">
        <v>10235</v>
      </c>
      <c r="AB32" s="123"/>
      <c r="AC32" s="123">
        <f>AA32/12</f>
        <v>852.91666666666663</v>
      </c>
      <c r="AD32" s="120"/>
      <c r="AE32" s="132">
        <v>7695</v>
      </c>
      <c r="AF32" s="123"/>
      <c r="AG32" s="123">
        <f>AE32/12</f>
        <v>641.25</v>
      </c>
      <c r="AH32" s="117"/>
      <c r="AI32" s="117"/>
    </row>
    <row r="33" spans="1:69" ht="10" customHeight="1" x14ac:dyDescent="0.4">
      <c r="B33" s="11"/>
      <c r="C33" s="100"/>
      <c r="D33" s="111"/>
      <c r="E33" s="100"/>
      <c r="F33" s="177"/>
      <c r="G33" s="177"/>
      <c r="H33" s="178"/>
      <c r="I33" s="100"/>
      <c r="J33" s="111"/>
      <c r="K33" s="100"/>
      <c r="L33" s="177"/>
      <c r="Q33" s="177"/>
      <c r="T33" s="100"/>
      <c r="U33" s="111"/>
      <c r="V33" s="100"/>
      <c r="W33" s="177"/>
      <c r="AA33" s="177"/>
      <c r="AD33" s="111"/>
      <c r="AE33" s="177"/>
    </row>
    <row r="34" spans="1:69" ht="18" x14ac:dyDescent="0.4">
      <c r="A34" s="1" t="s">
        <v>18</v>
      </c>
      <c r="B34" s="5" t="s">
        <v>85</v>
      </c>
      <c r="C34" s="100"/>
      <c r="D34" s="111"/>
      <c r="E34" s="100"/>
      <c r="F34" s="179">
        <f>F20*0.005</f>
        <v>0</v>
      </c>
      <c r="G34" s="63"/>
      <c r="H34" s="178">
        <f>F34/12</f>
        <v>0</v>
      </c>
      <c r="I34" s="100"/>
      <c r="J34" s="111"/>
      <c r="K34" s="100"/>
      <c r="L34" s="179">
        <f>L20*0.005</f>
        <v>434.05800876114245</v>
      </c>
      <c r="N34" s="9">
        <f>L34-F34</f>
        <v>434.05800876114245</v>
      </c>
      <c r="O34" s="52">
        <f>L34/12</f>
        <v>36.171500730095204</v>
      </c>
      <c r="Q34" s="179">
        <f>Q20*0.005</f>
        <v>447.92616214106096</v>
      </c>
      <c r="S34" s="52">
        <f>Q34/12</f>
        <v>37.327180178421749</v>
      </c>
      <c r="T34" s="100"/>
      <c r="U34" s="111"/>
      <c r="V34" s="100"/>
      <c r="W34" s="179">
        <f>W20*0.005</f>
        <v>366.38169693968933</v>
      </c>
      <c r="Y34" s="52">
        <f>W34/12</f>
        <v>30.531808078307446</v>
      </c>
      <c r="AA34" s="179">
        <f>AA20*0.005</f>
        <v>418.73098393695756</v>
      </c>
      <c r="AC34" s="52">
        <f>AA34/12</f>
        <v>34.89424866141313</v>
      </c>
      <c r="AD34" s="111"/>
      <c r="AE34" s="179">
        <f>AE20*0.005</f>
        <v>196.98414528645117</v>
      </c>
      <c r="AG34" s="52">
        <f>AE34/12</f>
        <v>16.415345440537596</v>
      </c>
    </row>
    <row r="35" spans="1:69" s="117" customFormat="1" ht="10" customHeight="1" x14ac:dyDescent="0.4">
      <c r="A35" s="1"/>
      <c r="B35" s="5"/>
      <c r="C35" s="100"/>
      <c r="D35" s="111"/>
      <c r="E35" s="100"/>
      <c r="F35" s="179"/>
      <c r="G35" s="63"/>
      <c r="H35" s="178"/>
      <c r="I35" s="100"/>
      <c r="J35" s="111"/>
      <c r="K35" s="100"/>
      <c r="L35" s="179"/>
      <c r="M35" s="52"/>
      <c r="N35" s="9"/>
      <c r="O35" s="52"/>
      <c r="P35" s="52"/>
      <c r="Q35" s="179"/>
      <c r="R35" s="52"/>
      <c r="S35" s="52"/>
      <c r="T35" s="100"/>
      <c r="U35" s="111"/>
      <c r="V35" s="100"/>
      <c r="W35" s="179"/>
      <c r="X35" s="52"/>
      <c r="Y35" s="52"/>
      <c r="Z35" s="52"/>
      <c r="AA35" s="179"/>
      <c r="AB35" s="52"/>
      <c r="AC35" s="52"/>
      <c r="AD35" s="111"/>
      <c r="AE35" s="179"/>
      <c r="AF35" s="52"/>
      <c r="AG35" s="52"/>
      <c r="AH35" s="1"/>
      <c r="AI35" s="1"/>
    </row>
    <row r="36" spans="1:69" ht="22.5" x14ac:dyDescent="0.45">
      <c r="A36" s="117" t="s">
        <v>19</v>
      </c>
      <c r="B36" s="118" t="s">
        <v>83</v>
      </c>
      <c r="C36" s="119"/>
      <c r="D36" s="120"/>
      <c r="E36" s="119"/>
      <c r="F36" s="180"/>
      <c r="G36" s="121"/>
      <c r="H36" s="176">
        <f>F36/12</f>
        <v>0</v>
      </c>
      <c r="I36" s="119"/>
      <c r="J36" s="120"/>
      <c r="K36" s="119"/>
      <c r="L36" s="180">
        <f>L5</f>
        <v>1800</v>
      </c>
      <c r="M36" s="123"/>
      <c r="N36" s="124"/>
      <c r="O36" s="123">
        <f>L36/12</f>
        <v>150</v>
      </c>
      <c r="P36" s="123"/>
      <c r="Q36" s="180">
        <f>L5</f>
        <v>1800</v>
      </c>
      <c r="R36" s="123"/>
      <c r="S36" s="123">
        <f>Q36/12</f>
        <v>150</v>
      </c>
      <c r="T36" s="119"/>
      <c r="U36" s="120"/>
      <c r="V36" s="119"/>
      <c r="W36" s="180">
        <f>W5</f>
        <v>1800</v>
      </c>
      <c r="X36" s="123"/>
      <c r="Y36" s="123">
        <f>W36/12</f>
        <v>150</v>
      </c>
      <c r="Z36" s="123"/>
      <c r="AA36" s="180">
        <f>AA5</f>
        <v>1800</v>
      </c>
      <c r="AB36" s="123"/>
      <c r="AC36" s="123">
        <f>AA36/12</f>
        <v>150</v>
      </c>
      <c r="AD36" s="120"/>
      <c r="AE36" s="180">
        <f>AE5</f>
        <v>1800</v>
      </c>
      <c r="AF36" s="123"/>
      <c r="AG36" s="123">
        <f>AE36/12</f>
        <v>150</v>
      </c>
      <c r="AH36" s="117"/>
      <c r="AI36" s="117"/>
    </row>
    <row r="37" spans="1:69" s="19" customFormat="1" ht="10" customHeight="1" x14ac:dyDescent="0.45">
      <c r="A37" s="1"/>
      <c r="B37" s="4"/>
      <c r="C37" s="100"/>
      <c r="D37" s="111"/>
      <c r="E37" s="100"/>
      <c r="F37" s="60"/>
      <c r="G37" s="60"/>
      <c r="H37" s="48"/>
      <c r="I37" s="100"/>
      <c r="J37" s="111"/>
      <c r="K37" s="100"/>
      <c r="L37" s="60"/>
      <c r="M37" s="52"/>
      <c r="N37" s="9"/>
      <c r="O37" s="52"/>
      <c r="P37" s="52"/>
      <c r="Q37" s="60"/>
      <c r="R37" s="52"/>
      <c r="S37" s="52"/>
      <c r="T37" s="100"/>
      <c r="U37" s="111"/>
      <c r="V37" s="100"/>
      <c r="W37" s="60"/>
      <c r="X37" s="52"/>
      <c r="Y37" s="52"/>
      <c r="Z37" s="52"/>
      <c r="AA37" s="60"/>
      <c r="AB37" s="52"/>
      <c r="AC37" s="52"/>
      <c r="AD37" s="111"/>
      <c r="AE37" s="60"/>
      <c r="AF37" s="52"/>
      <c r="AG37" s="52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</row>
    <row r="38" spans="1:69" ht="36" x14ac:dyDescent="0.45">
      <c r="A38" s="1" t="s">
        <v>88</v>
      </c>
      <c r="B38" s="12" t="s">
        <v>90</v>
      </c>
      <c r="C38" s="100"/>
      <c r="D38" s="111"/>
      <c r="E38" s="100"/>
      <c r="F38" s="182">
        <f>F30+F32+F34+F36</f>
        <v>0</v>
      </c>
      <c r="G38" s="61"/>
      <c r="H38" s="77">
        <f>F38/12</f>
        <v>0</v>
      </c>
      <c r="I38" s="100"/>
      <c r="J38" s="111"/>
      <c r="K38" s="100"/>
      <c r="L38" s="182">
        <f>L30+L32+L34+L36</f>
        <v>35705.21818398399</v>
      </c>
      <c r="M38" s="78"/>
      <c r="N38" s="13">
        <f>L38-F38</f>
        <v>35705.21818398399</v>
      </c>
      <c r="O38" s="78">
        <f>L38/12</f>
        <v>2975.4348486653325</v>
      </c>
      <c r="Q38" s="182">
        <f>Q30+Q32+Q34+Q36</f>
        <v>35996.449404962281</v>
      </c>
      <c r="R38" s="78"/>
      <c r="S38" s="78">
        <f>Q38/12</f>
        <v>2999.7041170801899</v>
      </c>
      <c r="T38" s="100"/>
      <c r="U38" s="111"/>
      <c r="V38" s="100"/>
      <c r="W38" s="182">
        <f>W30+W32+W34+W36</f>
        <v>18274.015635733478</v>
      </c>
      <c r="X38" s="78"/>
      <c r="Y38" s="78">
        <f>W38/12</f>
        <v>1522.8346363111232</v>
      </c>
      <c r="AA38" s="182">
        <f>AA30+AA32+AA34+AA36</f>
        <v>20828.350662676112</v>
      </c>
      <c r="AB38" s="78"/>
      <c r="AC38" s="78">
        <f>AA38/12</f>
        <v>1735.6958885563427</v>
      </c>
      <c r="AD38" s="111"/>
      <c r="AE38" s="182">
        <f>AE30+AE32+AE34+AE36</f>
        <v>14419.603632161279</v>
      </c>
      <c r="AF38" s="78"/>
      <c r="AG38" s="78">
        <f>AE38/12</f>
        <v>1201.6336360134399</v>
      </c>
      <c r="AH38" s="19"/>
      <c r="AI38" s="19"/>
    </row>
    <row r="39" spans="1:69" ht="9.75" hidden="1" customHeight="1" x14ac:dyDescent="0.35">
      <c r="B39" s="5"/>
      <c r="C39" s="100"/>
      <c r="D39" s="111"/>
      <c r="E39" s="100"/>
      <c r="I39" s="100"/>
      <c r="J39" s="111"/>
      <c r="K39" s="100"/>
      <c r="T39" s="100"/>
      <c r="U39" s="111"/>
      <c r="V39" s="100"/>
      <c r="AD39" s="111"/>
    </row>
    <row r="40" spans="1:69" s="23" customFormat="1" ht="20" customHeight="1" thickBot="1" x14ac:dyDescent="0.4">
      <c r="A40" s="1"/>
      <c r="B40" s="5"/>
      <c r="C40" s="100"/>
      <c r="D40" s="111"/>
      <c r="E40" s="100"/>
      <c r="F40" s="52"/>
      <c r="G40" s="52"/>
      <c r="H40" s="48"/>
      <c r="I40" s="100"/>
      <c r="J40" s="111"/>
      <c r="K40" s="100"/>
      <c r="L40" s="52"/>
      <c r="M40" s="52"/>
      <c r="N40" s="9"/>
      <c r="O40" s="52"/>
      <c r="P40" s="52"/>
      <c r="Q40" s="52"/>
      <c r="R40" s="52"/>
      <c r="S40" s="52"/>
      <c r="T40" s="100"/>
      <c r="U40" s="111"/>
      <c r="V40" s="100"/>
      <c r="W40" s="52"/>
      <c r="X40" s="52"/>
      <c r="Y40" s="52"/>
      <c r="Z40" s="52"/>
      <c r="AA40" s="52"/>
      <c r="AB40" s="52"/>
      <c r="AC40" s="52"/>
      <c r="AD40" s="111"/>
      <c r="AE40" s="52"/>
      <c r="AF40" s="52"/>
      <c r="AG40" s="52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</row>
    <row r="41" spans="1:69" ht="42" thickTop="1" thickBot="1" x14ac:dyDescent="0.55000000000000004">
      <c r="B41" s="24" t="s">
        <v>91</v>
      </c>
      <c r="C41" s="100"/>
      <c r="D41" s="111"/>
      <c r="E41" s="100"/>
      <c r="F41" s="185">
        <f>F20+F26+F38</f>
        <v>0</v>
      </c>
      <c r="G41" s="64"/>
      <c r="H41" s="79">
        <f>F41/12</f>
        <v>0</v>
      </c>
      <c r="I41" s="100"/>
      <c r="J41" s="111"/>
      <c r="K41" s="100"/>
      <c r="L41" s="185">
        <f>L20+L26+L38</f>
        <v>122516.81993621247</v>
      </c>
      <c r="M41" s="64"/>
      <c r="N41" s="14">
        <f>L41-F41</f>
        <v>122516.81993621247</v>
      </c>
      <c r="O41" s="80">
        <f>L41/12</f>
        <v>10209.734994684373</v>
      </c>
      <c r="Q41" s="185">
        <f>Q20+Q26+Q38</f>
        <v>125581.68183317446</v>
      </c>
      <c r="R41" s="64"/>
      <c r="S41" s="80">
        <f>Q41/12</f>
        <v>10465.140152764538</v>
      </c>
      <c r="T41" s="100"/>
      <c r="U41" s="111"/>
      <c r="V41" s="100"/>
      <c r="W41" s="185">
        <f>W20+W26+W38</f>
        <v>91550.355023671349</v>
      </c>
      <c r="X41" s="64"/>
      <c r="Y41" s="80">
        <f>W41/12</f>
        <v>7629.1962519726121</v>
      </c>
      <c r="AA41" s="185">
        <f>AA20+AA26+AA38</f>
        <v>104574.54745006762</v>
      </c>
      <c r="AB41" s="64"/>
      <c r="AC41" s="80">
        <f>AA41/12</f>
        <v>8714.5456208389678</v>
      </c>
      <c r="AD41" s="111"/>
      <c r="AE41" s="185">
        <f>AE20+AE26+AE38</f>
        <v>53816.432689451511</v>
      </c>
      <c r="AF41" s="64"/>
      <c r="AG41" s="80">
        <f>AE41/12</f>
        <v>4484.7027241209589</v>
      </c>
      <c r="AH41" s="23"/>
      <c r="AI41" s="23"/>
    </row>
    <row r="42" spans="1:69" ht="32.25" hidden="1" customHeight="1" x14ac:dyDescent="0.35">
      <c r="B42" s="15"/>
      <c r="C42" s="100"/>
      <c r="D42" s="111"/>
      <c r="E42" s="100"/>
      <c r="F42" s="65"/>
      <c r="G42" s="81"/>
      <c r="I42" s="100"/>
      <c r="J42" s="111"/>
      <c r="K42" s="100"/>
      <c r="L42" s="65"/>
      <c r="Q42" s="65"/>
      <c r="T42" s="100"/>
      <c r="U42" s="111"/>
      <c r="V42" s="100"/>
      <c r="W42" s="65"/>
      <c r="AA42" s="65"/>
      <c r="AD42" s="111"/>
      <c r="AE42" s="65"/>
    </row>
    <row r="43" spans="1:69" ht="32.25" customHeight="1" thickTop="1" x14ac:dyDescent="0.35">
      <c r="B43" s="16"/>
      <c r="C43" s="100"/>
      <c r="D43" s="111"/>
      <c r="E43" s="100"/>
      <c r="F43" s="82"/>
      <c r="I43" s="100"/>
      <c r="J43" s="111"/>
      <c r="K43" s="100"/>
      <c r="T43" s="100"/>
      <c r="U43" s="111"/>
      <c r="V43" s="100"/>
      <c r="AD43" s="111"/>
    </row>
    <row r="44" spans="1:69" x14ac:dyDescent="0.35">
      <c r="B44" s="16"/>
      <c r="C44" s="100"/>
      <c r="D44" s="111"/>
      <c r="E44" s="100"/>
      <c r="F44" s="82"/>
      <c r="I44" s="100"/>
      <c r="J44" s="111"/>
      <c r="K44" s="100"/>
      <c r="L44" s="295"/>
      <c r="M44" s="295"/>
      <c r="N44" s="295"/>
      <c r="O44" s="295"/>
      <c r="P44" s="295"/>
      <c r="Q44" s="295"/>
      <c r="R44" s="295"/>
      <c r="T44" s="100"/>
      <c r="U44" s="111"/>
      <c r="V44" s="100"/>
      <c r="W44" s="296"/>
      <c r="X44" s="296"/>
      <c r="Y44" s="296"/>
      <c r="AA44" s="293"/>
      <c r="AB44" s="293"/>
      <c r="AC44" s="293"/>
      <c r="AD44" s="111"/>
      <c r="AE44" s="293"/>
      <c r="AF44" s="293"/>
      <c r="AG44" s="293"/>
    </row>
    <row r="45" spans="1:69" ht="20" x14ac:dyDescent="0.4">
      <c r="C45" s="104"/>
      <c r="D45" s="112"/>
      <c r="E45" s="104"/>
      <c r="I45" s="104"/>
      <c r="J45" s="112"/>
      <c r="K45" s="104"/>
      <c r="L45" s="295"/>
      <c r="M45" s="295"/>
      <c r="N45" s="295"/>
      <c r="O45" s="295"/>
      <c r="P45" s="295"/>
      <c r="Q45" s="295"/>
      <c r="R45" s="295"/>
      <c r="T45" s="104"/>
      <c r="U45" s="112"/>
      <c r="V45" s="104"/>
      <c r="W45" s="296"/>
      <c r="X45" s="296"/>
      <c r="Y45" s="296"/>
      <c r="AA45" s="293"/>
      <c r="AB45" s="293"/>
      <c r="AC45" s="293"/>
      <c r="AD45" s="112"/>
      <c r="AE45" s="293"/>
      <c r="AF45" s="293"/>
      <c r="AG45" s="293"/>
    </row>
    <row r="46" spans="1:69" ht="20" x14ac:dyDescent="0.4">
      <c r="B46" s="21" t="s">
        <v>28</v>
      </c>
      <c r="C46" s="100"/>
      <c r="D46" s="111"/>
      <c r="E46" s="100"/>
      <c r="F46" s="62"/>
      <c r="G46" s="62"/>
      <c r="H46" s="83"/>
      <c r="I46" s="100"/>
      <c r="J46" s="111"/>
      <c r="K46" s="100"/>
      <c r="L46" s="62"/>
      <c r="N46" s="84"/>
      <c r="O46" s="68"/>
      <c r="Q46" s="62"/>
      <c r="S46" s="68"/>
      <c r="T46" s="100"/>
      <c r="U46" s="111"/>
      <c r="V46" s="100"/>
      <c r="W46" s="62"/>
      <c r="Y46" s="68"/>
      <c r="AA46" s="62"/>
      <c r="AC46" s="68"/>
      <c r="AD46" s="111"/>
      <c r="AE46" s="62"/>
      <c r="AG46" s="68"/>
    </row>
    <row r="47" spans="1:69" ht="24" customHeight="1" x14ac:dyDescent="0.4">
      <c r="A47" s="25" t="s">
        <v>33</v>
      </c>
      <c r="B47" s="5" t="s">
        <v>60</v>
      </c>
      <c r="C47" s="100"/>
      <c r="D47" s="111"/>
      <c r="E47" s="100"/>
      <c r="F47" s="57"/>
      <c r="H47" s="50"/>
      <c r="I47" s="100"/>
      <c r="J47" s="111"/>
      <c r="K47" s="100"/>
      <c r="L47" s="57"/>
      <c r="O47" s="9"/>
      <c r="Q47" s="57"/>
      <c r="S47" s="9"/>
      <c r="T47" s="100"/>
      <c r="U47" s="111"/>
      <c r="V47" s="100"/>
      <c r="W47" s="57"/>
      <c r="AA47" s="57"/>
      <c r="AD47" s="111"/>
      <c r="AE47" s="57"/>
    </row>
    <row r="48" spans="1:69" ht="24" customHeight="1" x14ac:dyDescent="0.4">
      <c r="A48" s="25" t="s">
        <v>34</v>
      </c>
      <c r="B48" s="5" t="s">
        <v>29</v>
      </c>
      <c r="C48" s="100"/>
      <c r="D48" s="111"/>
      <c r="E48" s="100"/>
      <c r="F48" s="57"/>
      <c r="G48" s="85"/>
      <c r="H48" s="50"/>
      <c r="I48" s="100"/>
      <c r="J48" s="111"/>
      <c r="K48" s="100"/>
      <c r="L48" s="57"/>
      <c r="O48" s="9"/>
      <c r="Q48" s="57"/>
      <c r="S48" s="9"/>
      <c r="T48" s="100"/>
      <c r="U48" s="111"/>
      <c r="V48" s="100"/>
      <c r="W48" s="57"/>
      <c r="AA48" s="57"/>
      <c r="AD48" s="111"/>
      <c r="AE48" s="57"/>
    </row>
    <row r="49" spans="1:33" ht="24" customHeight="1" x14ac:dyDescent="0.4">
      <c r="A49" s="25" t="s">
        <v>35</v>
      </c>
      <c r="B49" s="5" t="s">
        <v>30</v>
      </c>
      <c r="C49" s="63"/>
      <c r="D49" s="111"/>
      <c r="E49" s="63"/>
      <c r="F49" s="57"/>
      <c r="G49" s="63"/>
      <c r="H49" s="50"/>
      <c r="I49" s="63"/>
      <c r="J49" s="111"/>
      <c r="K49" s="63"/>
      <c r="L49" s="57"/>
      <c r="O49" s="9"/>
      <c r="Q49" s="57"/>
      <c r="S49" s="9"/>
      <c r="T49" s="63"/>
      <c r="U49" s="111"/>
      <c r="V49" s="63"/>
      <c r="W49" s="57"/>
      <c r="AA49" s="57"/>
      <c r="AD49" s="111"/>
      <c r="AE49" s="57"/>
    </row>
    <row r="50" spans="1:33" ht="24" customHeight="1" x14ac:dyDescent="0.4">
      <c r="A50" s="25" t="s">
        <v>36</v>
      </c>
      <c r="B50" s="5" t="s">
        <v>31</v>
      </c>
      <c r="C50" s="100"/>
      <c r="D50" s="111"/>
      <c r="E50" s="100"/>
      <c r="F50" s="106"/>
      <c r="G50" s="63"/>
      <c r="H50" s="63"/>
      <c r="I50" s="100"/>
      <c r="J50" s="111"/>
      <c r="K50" s="100"/>
      <c r="L50" s="106"/>
      <c r="M50" s="63"/>
      <c r="N50" s="63"/>
      <c r="O50" s="63"/>
      <c r="P50" s="63"/>
      <c r="Q50" s="106"/>
      <c r="S50" s="9"/>
      <c r="T50" s="100"/>
      <c r="U50" s="111"/>
      <c r="V50" s="100"/>
      <c r="W50" s="57"/>
      <c r="AA50" s="57"/>
      <c r="AD50" s="111"/>
      <c r="AE50" s="57"/>
    </row>
    <row r="51" spans="1:33" ht="18" x14ac:dyDescent="0.4">
      <c r="A51" s="25" t="s">
        <v>37</v>
      </c>
      <c r="B51" s="5" t="s">
        <v>32</v>
      </c>
      <c r="C51" s="105"/>
      <c r="D51" s="111"/>
      <c r="E51" s="105"/>
      <c r="F51" s="57"/>
      <c r="G51" s="55"/>
      <c r="H51" s="50"/>
      <c r="I51" s="105"/>
      <c r="J51" s="111"/>
      <c r="K51" s="105"/>
      <c r="L51" s="57"/>
      <c r="O51" s="9"/>
      <c r="Q51" s="57"/>
      <c r="S51" s="9"/>
      <c r="T51" s="105"/>
      <c r="U51" s="111"/>
      <c r="V51" s="105"/>
      <c r="W51" s="57"/>
      <c r="AA51" s="57"/>
      <c r="AD51" s="111"/>
      <c r="AE51" s="57"/>
    </row>
    <row r="52" spans="1:33" ht="18" x14ac:dyDescent="0.4">
      <c r="A52" s="25"/>
      <c r="B52" s="2"/>
      <c r="F52" s="63"/>
      <c r="G52" s="63"/>
      <c r="H52" s="63"/>
      <c r="L52" s="63"/>
      <c r="M52" s="63"/>
      <c r="N52" s="63"/>
      <c r="O52" s="63"/>
      <c r="P52" s="63"/>
      <c r="Q52" s="63"/>
      <c r="S52" s="9"/>
    </row>
    <row r="53" spans="1:33" ht="18" x14ac:dyDescent="0.4">
      <c r="A53" s="25" t="s">
        <v>96</v>
      </c>
      <c r="B53" s="1" t="s">
        <v>66</v>
      </c>
      <c r="F53" s="106"/>
      <c r="G53" s="1"/>
      <c r="H53" s="51"/>
      <c r="L53" s="106"/>
      <c r="M53" s="1"/>
      <c r="N53" s="3"/>
      <c r="O53" s="6"/>
      <c r="P53" s="1"/>
      <c r="Q53" s="106"/>
      <c r="R53" s="1"/>
      <c r="S53" s="6"/>
      <c r="W53" s="57"/>
      <c r="X53" s="1"/>
      <c r="Y53" s="10"/>
      <c r="Z53" s="1"/>
      <c r="AA53" s="57"/>
      <c r="AB53" s="1"/>
      <c r="AC53" s="10"/>
      <c r="AE53" s="57"/>
      <c r="AF53" s="1"/>
      <c r="AG53" s="10"/>
    </row>
    <row r="54" spans="1:33" ht="18" x14ac:dyDescent="0.4">
      <c r="A54" s="1" t="s">
        <v>97</v>
      </c>
      <c r="B54" s="1" t="s">
        <v>86</v>
      </c>
      <c r="F54" s="106"/>
      <c r="L54" s="106"/>
      <c r="M54" s="1"/>
      <c r="N54" s="3"/>
      <c r="O54" s="6"/>
      <c r="P54" s="1"/>
      <c r="Q54" s="106"/>
      <c r="R54" s="1"/>
      <c r="S54" s="6"/>
      <c r="W54" s="57"/>
      <c r="X54" s="1"/>
      <c r="Y54" s="10"/>
      <c r="Z54" s="1"/>
      <c r="AA54" s="57"/>
    </row>
  </sheetData>
  <mergeCells count="9">
    <mergeCell ref="AE2:AH2"/>
    <mergeCell ref="AE44:AG45"/>
    <mergeCell ref="L2:S2"/>
    <mergeCell ref="W2:Y2"/>
    <mergeCell ref="B2:F2"/>
    <mergeCell ref="L44:R45"/>
    <mergeCell ref="W44:Y45"/>
    <mergeCell ref="AA44:AC45"/>
    <mergeCell ref="AA2:AC2"/>
  </mergeCells>
  <pageMargins left="0.5" right="0.5" top="0.75" bottom="0.75" header="0.3" footer="0.3"/>
  <pageSetup scale="38" orientation="landscape" horizontalDpi="4294967293" verticalDpi="4294967293" r:id="rId1"/>
  <headerFooter>
    <oddHeader>&amp;C&amp;"Times New Roman,Bold"&amp;24 2025&amp;"Times New Roman,Regular" EXAMPLE Worksheet for Ministers
Parsonage IS Provided</oddHeader>
    <oddFooter xml:space="preserve">&amp;LPortico Benefit Services:  1-800-352-2876 (M-F)
https://porticobenefits.org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6F11-46B9-4A2E-AA7E-F2CAAE475ED3}">
  <sheetPr>
    <pageSetUpPr fitToPage="1"/>
  </sheetPr>
  <dimension ref="A2:W44"/>
  <sheetViews>
    <sheetView tabSelected="1" view="pageBreakPreview" zoomScale="82" zoomScaleNormal="80" zoomScaleSheetLayoutView="82" workbookViewId="0">
      <selection activeCell="G11" sqref="G11"/>
    </sheetView>
  </sheetViews>
  <sheetFormatPr defaultRowHeight="15.5" x14ac:dyDescent="0.35"/>
  <cols>
    <col min="1" max="1" width="1.7265625" style="226" customWidth="1"/>
    <col min="2" max="2" width="8.7265625" style="226"/>
    <col min="3" max="3" width="39.1796875" style="226" customWidth="1"/>
    <col min="4" max="4" width="11.36328125" style="226" customWidth="1"/>
    <col min="5" max="5" width="3.6328125" style="226" customWidth="1"/>
    <col min="6" max="6" width="17" style="226" customWidth="1"/>
    <col min="7" max="7" width="3.6328125" style="226" customWidth="1"/>
    <col min="8" max="8" width="20" style="226" customWidth="1"/>
    <col min="9" max="9" width="5.54296875" style="226" hidden="1" customWidth="1"/>
    <col min="10" max="10" width="6.36328125" style="226" hidden="1" customWidth="1"/>
    <col min="11" max="11" width="10.6328125" style="226" hidden="1" customWidth="1"/>
    <col min="12" max="12" width="6" style="227" hidden="1" customWidth="1"/>
    <col min="13" max="13" width="2.08984375" style="226" customWidth="1"/>
    <col min="14" max="14" width="8.7265625" style="226"/>
    <col min="15" max="15" width="36.08984375" style="226" customWidth="1"/>
    <col min="16" max="16" width="11" style="226" customWidth="1"/>
    <col min="17" max="17" width="2.36328125" style="226" customWidth="1"/>
    <col min="18" max="18" width="14.90625" style="226" customWidth="1"/>
    <col min="19" max="19" width="1.453125" style="226" customWidth="1"/>
    <col min="20" max="20" width="16.453125" style="226" customWidth="1"/>
    <col min="21" max="21" width="14.453125" style="226" customWidth="1"/>
    <col min="22" max="22" width="6.453125" style="226" customWidth="1"/>
    <col min="23" max="23" width="12.36328125" style="226" customWidth="1"/>
    <col min="24" max="16384" width="8.7265625" style="226"/>
  </cols>
  <sheetData>
    <row r="2" spans="2:23" s="223" customFormat="1" ht="20.5" x14ac:dyDescent="0.45">
      <c r="C2" s="306" t="s">
        <v>111</v>
      </c>
      <c r="D2" s="306"/>
      <c r="E2" s="306"/>
      <c r="F2" s="306"/>
      <c r="G2" s="306"/>
      <c r="H2" s="306"/>
      <c r="L2" s="224"/>
      <c r="O2" s="306" t="s">
        <v>112</v>
      </c>
      <c r="P2" s="306"/>
      <c r="Q2" s="306"/>
      <c r="R2" s="306"/>
      <c r="S2" s="306"/>
      <c r="T2" s="306"/>
    </row>
    <row r="4" spans="2:23" ht="18" x14ac:dyDescent="0.4">
      <c r="B4" s="307" t="s">
        <v>113</v>
      </c>
      <c r="C4" s="307"/>
      <c r="D4" s="225">
        <v>2015</v>
      </c>
      <c r="N4" s="307" t="s">
        <v>113</v>
      </c>
      <c r="O4" s="307"/>
      <c r="P4" s="225">
        <v>2022</v>
      </c>
    </row>
    <row r="5" spans="2:23" s="230" customFormat="1" ht="18" x14ac:dyDescent="0.4">
      <c r="B5" s="308" t="s">
        <v>114</v>
      </c>
      <c r="C5" s="308"/>
      <c r="D5" s="228">
        <v>0.5</v>
      </c>
      <c r="E5" s="229"/>
      <c r="L5" s="231"/>
      <c r="N5" s="230" t="s">
        <v>115</v>
      </c>
      <c r="P5" s="281" t="s">
        <v>138</v>
      </c>
    </row>
    <row r="6" spans="2:23" x14ac:dyDescent="0.35">
      <c r="N6" s="226" t="s">
        <v>116</v>
      </c>
    </row>
    <row r="7" spans="2:23" ht="17.5" x14ac:dyDescent="0.35">
      <c r="F7" s="232" t="s">
        <v>117</v>
      </c>
      <c r="G7" s="232"/>
      <c r="H7" s="232" t="s">
        <v>118</v>
      </c>
      <c r="R7" s="232" t="s">
        <v>117</v>
      </c>
      <c r="S7" s="232"/>
      <c r="T7" s="232" t="s">
        <v>118</v>
      </c>
    </row>
    <row r="8" spans="2:23" x14ac:dyDescent="0.35">
      <c r="J8" s="233" t="s">
        <v>119</v>
      </c>
      <c r="K8" s="233">
        <f ca="1">H19+H25+H27+H31+H34</f>
        <v>80000</v>
      </c>
      <c r="V8" s="233" t="s">
        <v>119</v>
      </c>
      <c r="W8" s="233">
        <f ca="1">T19+T25+T27+T34</f>
        <v>55000</v>
      </c>
    </row>
    <row r="9" spans="2:23" s="234" customFormat="1" ht="20" x14ac:dyDescent="0.4">
      <c r="B9" s="234" t="s">
        <v>120</v>
      </c>
      <c r="C9" s="234" t="s">
        <v>121</v>
      </c>
      <c r="F9" s="235">
        <f>H9/12</f>
        <v>6666.666666666667</v>
      </c>
      <c r="G9" s="235"/>
      <c r="H9" s="236">
        <v>80000</v>
      </c>
      <c r="J9" s="233" t="str">
        <f ca="1">IF(K8=H9,"ok", "NO")</f>
        <v>ok</v>
      </c>
      <c r="K9" s="237"/>
      <c r="L9" s="238"/>
      <c r="N9" s="234" t="s">
        <v>120</v>
      </c>
      <c r="O9" s="234" t="s">
        <v>121</v>
      </c>
      <c r="R9" s="235">
        <f>T9/12</f>
        <v>4583.333333333333</v>
      </c>
      <c r="S9" s="235"/>
      <c r="T9" s="236">
        <v>55000</v>
      </c>
      <c r="V9" s="233" t="str">
        <f>IF(W9=T10,"ok", "NO")</f>
        <v>ok</v>
      </c>
      <c r="W9" s="237"/>
    </row>
    <row r="10" spans="2:23" x14ac:dyDescent="0.35">
      <c r="F10" s="239"/>
      <c r="G10" s="239"/>
      <c r="H10" s="239"/>
      <c r="R10" s="239"/>
      <c r="S10" s="239"/>
      <c r="T10" s="239"/>
    </row>
    <row r="11" spans="2:23" s="230" customFormat="1" ht="18" x14ac:dyDescent="0.4">
      <c r="B11" s="230" t="s">
        <v>8</v>
      </c>
      <c r="C11" s="230" t="s">
        <v>122</v>
      </c>
      <c r="F11" s="240">
        <v>900</v>
      </c>
      <c r="G11" s="241"/>
      <c r="H11" s="242">
        <f>F11*12</f>
        <v>10800</v>
      </c>
      <c r="L11" s="231"/>
      <c r="N11" s="230" t="s">
        <v>8</v>
      </c>
      <c r="O11" s="230" t="s">
        <v>122</v>
      </c>
      <c r="R11" s="240">
        <v>811</v>
      </c>
      <c r="S11" s="241"/>
      <c r="T11" s="242">
        <f>R11*12</f>
        <v>9732</v>
      </c>
    </row>
    <row r="12" spans="2:23" s="230" customFormat="1" ht="18" x14ac:dyDescent="0.4">
      <c r="F12" s="243"/>
      <c r="G12" s="243"/>
      <c r="H12" s="243"/>
      <c r="L12" s="231"/>
      <c r="R12" s="243"/>
      <c r="S12" s="243"/>
      <c r="T12" s="243"/>
    </row>
    <row r="13" spans="2:23" s="230" customFormat="1" ht="18" x14ac:dyDescent="0.4">
      <c r="B13" s="230" t="s">
        <v>9</v>
      </c>
      <c r="C13" s="230" t="s">
        <v>123</v>
      </c>
      <c r="D13" s="244">
        <v>5.0000000000000001E-3</v>
      </c>
      <c r="F13" s="243">
        <f ca="1">H13/12</f>
        <v>26.093514272142411</v>
      </c>
      <c r="G13" s="243"/>
      <c r="H13" s="245">
        <f ca="1">D13*H22</f>
        <v>313.12217201710058</v>
      </c>
      <c r="L13" s="231"/>
      <c r="N13" s="230" t="s">
        <v>9</v>
      </c>
      <c r="O13" s="230" t="s">
        <v>123</v>
      </c>
      <c r="P13" s="244">
        <v>5.0000000000000001E-3</v>
      </c>
      <c r="R13" s="243">
        <f ca="1">T13/12</f>
        <v>20.335790692429828</v>
      </c>
      <c r="S13" s="243"/>
      <c r="T13" s="245">
        <f ca="1">P13*(T$22+U$31)</f>
        <v>244.0294883091579</v>
      </c>
    </row>
    <row r="14" spans="2:23" s="230" customFormat="1" ht="18" x14ac:dyDescent="0.4">
      <c r="C14" s="244"/>
      <c r="D14" s="246"/>
      <c r="E14" s="246"/>
      <c r="F14" s="243"/>
      <c r="G14" s="243"/>
      <c r="H14" s="243"/>
      <c r="L14" s="231"/>
      <c r="O14" s="244"/>
      <c r="P14" s="246"/>
      <c r="Q14" s="246"/>
      <c r="R14" s="243"/>
      <c r="S14" s="243"/>
      <c r="T14" s="243"/>
    </row>
    <row r="15" spans="2:23" s="230" customFormat="1" ht="18" x14ac:dyDescent="0.4">
      <c r="B15" s="230" t="s">
        <v>10</v>
      </c>
      <c r="C15" s="246" t="s">
        <v>124</v>
      </c>
      <c r="D15" s="280">
        <v>0.1</v>
      </c>
      <c r="E15" s="246"/>
      <c r="F15" s="247">
        <f ca="1">H15/12</f>
        <v>521.87028544284829</v>
      </c>
      <c r="G15" s="248"/>
      <c r="H15" s="245">
        <f ca="1">D15*H22</f>
        <v>6262.4434403420119</v>
      </c>
      <c r="L15" s="231"/>
      <c r="N15" s="230" t="s">
        <v>10</v>
      </c>
      <c r="O15" s="246" t="s">
        <v>124</v>
      </c>
      <c r="P15" s="280">
        <v>0.1</v>
      </c>
      <c r="Q15" s="246"/>
      <c r="R15" s="247">
        <f ca="1">T15/12</f>
        <v>406.71581384859655</v>
      </c>
      <c r="S15" s="247"/>
      <c r="T15" s="245">
        <f ca="1">P15*(T$22+U$31)</f>
        <v>4880.5897661831577</v>
      </c>
    </row>
    <row r="16" spans="2:23" s="230" customFormat="1" ht="18" x14ac:dyDescent="0.4">
      <c r="C16" s="244"/>
      <c r="D16" s="246"/>
      <c r="E16" s="246"/>
      <c r="F16" s="243"/>
      <c r="G16" s="243"/>
      <c r="H16" s="243"/>
      <c r="L16" s="231"/>
      <c r="O16" s="244"/>
      <c r="P16" s="246"/>
      <c r="Q16" s="246"/>
      <c r="R16" s="243"/>
      <c r="S16" s="243"/>
      <c r="T16" s="243"/>
    </row>
    <row r="17" spans="1:21" s="249" customFormat="1" ht="18" x14ac:dyDescent="0.4">
      <c r="B17" s="226"/>
      <c r="C17" s="250"/>
      <c r="D17" s="250"/>
      <c r="E17" s="250"/>
      <c r="F17" s="239"/>
      <c r="G17" s="239"/>
      <c r="H17" s="239"/>
      <c r="L17" s="251"/>
      <c r="N17" s="230" t="s">
        <v>11</v>
      </c>
      <c r="O17" s="246" t="s">
        <v>125</v>
      </c>
      <c r="P17" s="246"/>
      <c r="Q17" s="246"/>
      <c r="R17" s="243">
        <f>T17/12</f>
        <v>150</v>
      </c>
      <c r="S17" s="243"/>
      <c r="T17" s="252">
        <v>1800</v>
      </c>
    </row>
    <row r="18" spans="1:21" ht="17.5" x14ac:dyDescent="0.35">
      <c r="A18" s="249"/>
      <c r="C18" s="250"/>
      <c r="D18" s="250"/>
      <c r="E18" s="250"/>
      <c r="F18" s="239"/>
      <c r="G18" s="239"/>
      <c r="H18" s="239"/>
      <c r="O18" s="250"/>
      <c r="P18" s="250"/>
      <c r="Q18" s="250"/>
      <c r="R18" s="239"/>
      <c r="S18" s="239"/>
      <c r="T18" s="239"/>
    </row>
    <row r="19" spans="1:21" s="249" customFormat="1" ht="17.5" x14ac:dyDescent="0.35">
      <c r="B19" s="253" t="s">
        <v>126</v>
      </c>
      <c r="C19" s="254"/>
      <c r="D19" s="253"/>
      <c r="E19" s="253"/>
      <c r="F19" s="255">
        <f ca="1">H19/12</f>
        <v>1447.9637997149905</v>
      </c>
      <c r="G19" s="255"/>
      <c r="H19" s="255">
        <f ca="1">SUM(H11:H16)</f>
        <v>17375.565612359111</v>
      </c>
      <c r="L19" s="251"/>
      <c r="N19" s="253" t="s">
        <v>126</v>
      </c>
      <c r="O19" s="254"/>
      <c r="P19" s="253"/>
      <c r="Q19" s="253"/>
      <c r="R19" s="256">
        <f ca="1">T19/12</f>
        <v>1388.0516045410266</v>
      </c>
      <c r="S19" s="255"/>
      <c r="T19" s="257">
        <f ca="1">T11+T13+T15+T17</f>
        <v>16656.619254492314</v>
      </c>
    </row>
    <row r="20" spans="1:21" ht="17.5" x14ac:dyDescent="0.35">
      <c r="A20" s="249"/>
      <c r="B20" s="258"/>
      <c r="C20" s="249"/>
      <c r="D20" s="258"/>
      <c r="E20" s="258"/>
      <c r="F20" s="259"/>
      <c r="G20" s="259"/>
      <c r="H20" s="260"/>
      <c r="N20" s="258"/>
      <c r="O20" s="249"/>
      <c r="P20" s="258"/>
      <c r="Q20" s="258"/>
      <c r="R20" s="259"/>
      <c r="S20" s="259"/>
      <c r="T20" s="260"/>
    </row>
    <row r="21" spans="1:21" ht="17.5" x14ac:dyDescent="0.35">
      <c r="B21" s="258"/>
      <c r="C21" s="249"/>
      <c r="D21" s="258"/>
      <c r="E21" s="258"/>
      <c r="F21" s="259"/>
      <c r="G21" s="259"/>
      <c r="H21" s="260"/>
      <c r="O21" s="250"/>
      <c r="P21" s="250"/>
      <c r="Q21" s="250"/>
      <c r="R21" s="239"/>
      <c r="S21" s="239"/>
      <c r="T21" s="239"/>
    </row>
    <row r="22" spans="1:21" s="230" customFormat="1" ht="18" x14ac:dyDescent="0.4">
      <c r="A22" s="249"/>
      <c r="B22" s="309" t="s">
        <v>127</v>
      </c>
      <c r="C22" s="309"/>
      <c r="D22" s="309"/>
      <c r="E22" s="309"/>
      <c r="F22" s="261">
        <f ca="1">H22/12</f>
        <v>5218.7028669516758</v>
      </c>
      <c r="G22" s="261"/>
      <c r="H22" s="261">
        <f ca="1">H9-H19</f>
        <v>62624.434387640889</v>
      </c>
      <c r="L22" s="231"/>
      <c r="N22" s="309" t="s">
        <v>127</v>
      </c>
      <c r="O22" s="309"/>
      <c r="P22" s="309"/>
      <c r="Q22" s="309"/>
      <c r="R22" s="261">
        <f ca="1">T22/12</f>
        <v>3195.2817287923067</v>
      </c>
      <c r="S22" s="261"/>
      <c r="T22" s="261">
        <f ca="1">T9-T19</f>
        <v>38343.380745507689</v>
      </c>
    </row>
    <row r="23" spans="1:21" s="230" customFormat="1" ht="18" x14ac:dyDescent="0.4">
      <c r="A23" s="226"/>
      <c r="B23" s="226"/>
      <c r="C23" s="250"/>
      <c r="D23" s="250"/>
      <c r="E23" s="250"/>
      <c r="F23" s="239"/>
      <c r="G23" s="239"/>
      <c r="H23" s="239"/>
      <c r="L23" s="231"/>
      <c r="N23" s="226"/>
      <c r="O23" s="250"/>
      <c r="P23" s="250"/>
      <c r="Q23" s="250"/>
      <c r="R23" s="239"/>
      <c r="S23" s="239"/>
      <c r="T23" s="239"/>
    </row>
    <row r="24" spans="1:21" s="230" customFormat="1" ht="18" x14ac:dyDescent="0.4">
      <c r="A24" s="226"/>
      <c r="B24" s="226"/>
      <c r="C24" s="250"/>
      <c r="D24" s="250"/>
      <c r="E24" s="250"/>
      <c r="F24" s="239"/>
      <c r="G24" s="239"/>
      <c r="H24" s="239"/>
      <c r="L24" s="231"/>
      <c r="N24" s="226"/>
      <c r="O24" s="250"/>
      <c r="P24" s="250"/>
      <c r="Q24" s="250"/>
      <c r="R24" s="239"/>
      <c r="S24" s="239"/>
      <c r="T24" s="239"/>
    </row>
    <row r="25" spans="1:21" ht="18" x14ac:dyDescent="0.4">
      <c r="A25" s="230"/>
      <c r="B25" s="230" t="s">
        <v>7</v>
      </c>
      <c r="C25" s="246" t="s">
        <v>128</v>
      </c>
      <c r="D25" s="246"/>
      <c r="E25" s="246"/>
      <c r="F25" s="243">
        <f ca="1">H25/12</f>
        <v>370.85998102218122</v>
      </c>
      <c r="G25" s="243"/>
      <c r="H25" s="243">
        <f ca="1">((H22-H25)*0.0765)</f>
        <v>4450.3197680761659</v>
      </c>
      <c r="N25" s="230" t="s">
        <v>7</v>
      </c>
      <c r="O25" s="246" t="s">
        <v>128</v>
      </c>
      <c r="P25" s="246"/>
      <c r="Q25" s="246"/>
      <c r="R25" s="243">
        <f ca="1">T25/12</f>
        <v>289.02702981344765</v>
      </c>
      <c r="S25" s="243"/>
      <c r="T25" s="243">
        <f ca="1">((T34+U31)*0.0765)</f>
        <v>3468.3243577613707</v>
      </c>
    </row>
    <row r="26" spans="1:21" s="234" customFormat="1" ht="20" x14ac:dyDescent="0.4">
      <c r="A26" s="230"/>
      <c r="B26" s="230"/>
      <c r="C26" s="246"/>
      <c r="D26" s="246"/>
      <c r="E26" s="246"/>
      <c r="F26" s="243"/>
      <c r="G26" s="243"/>
      <c r="H26" s="243"/>
      <c r="L26" s="238"/>
      <c r="N26" s="230"/>
      <c r="O26" s="246"/>
      <c r="P26" s="246"/>
      <c r="Q26" s="246"/>
      <c r="R26" s="243"/>
      <c r="S26" s="243"/>
      <c r="T26" s="243"/>
    </row>
    <row r="27" spans="1:21" ht="18" x14ac:dyDescent="0.4">
      <c r="A27" s="230"/>
      <c r="B27" s="230" t="s">
        <v>6</v>
      </c>
      <c r="C27" s="246" t="s">
        <v>13</v>
      </c>
      <c r="D27" s="246"/>
      <c r="E27" s="246"/>
      <c r="F27" s="243">
        <f>H27/12</f>
        <v>0</v>
      </c>
      <c r="G27" s="243"/>
      <c r="H27" s="252"/>
      <c r="N27" s="230" t="s">
        <v>6</v>
      </c>
      <c r="O27" s="246" t="s">
        <v>13</v>
      </c>
      <c r="P27" s="246"/>
      <c r="Q27" s="246"/>
      <c r="R27" s="243">
        <f>T27/12</f>
        <v>0</v>
      </c>
      <c r="S27" s="243"/>
      <c r="T27" s="252"/>
    </row>
    <row r="28" spans="1:21" s="230" customFormat="1" ht="18" x14ac:dyDescent="0.4">
      <c r="A28" s="226"/>
      <c r="B28" s="226"/>
      <c r="C28" s="250"/>
      <c r="D28" s="250"/>
      <c r="E28" s="250"/>
      <c r="F28" s="239"/>
      <c r="G28" s="239"/>
      <c r="H28" s="262"/>
      <c r="L28" s="231"/>
      <c r="N28" s="226"/>
      <c r="O28" s="250"/>
      <c r="P28" s="250"/>
      <c r="Q28" s="250"/>
      <c r="R28" s="239"/>
      <c r="S28" s="239"/>
      <c r="T28" s="262"/>
    </row>
    <row r="29" spans="1:21" s="288" customFormat="1" ht="23" x14ac:dyDescent="0.5">
      <c r="A29" s="268"/>
      <c r="B29" s="269" t="s">
        <v>129</v>
      </c>
      <c r="C29" s="268"/>
      <c r="D29" s="269"/>
      <c r="E29" s="269"/>
      <c r="F29" s="270"/>
      <c r="G29" s="270"/>
      <c r="H29" s="287">
        <f ca="1">H22-H25-H27</f>
        <v>58174.114619564723</v>
      </c>
      <c r="N29" s="269" t="s">
        <v>129</v>
      </c>
      <c r="O29" s="268"/>
      <c r="P29" s="269"/>
      <c r="Q29" s="269"/>
      <c r="R29" s="270"/>
      <c r="S29" s="270"/>
      <c r="T29" s="287">
        <f ca="1">T22-T25-T27</f>
        <v>34875.056387746321</v>
      </c>
    </row>
    <row r="30" spans="1:21" x14ac:dyDescent="0.35">
      <c r="C30" s="250"/>
      <c r="D30" s="250"/>
      <c r="E30" s="250"/>
      <c r="F30" s="239"/>
      <c r="G30" s="239"/>
      <c r="H30" s="262"/>
      <c r="O30" s="250"/>
      <c r="P30" s="250"/>
      <c r="Q30" s="250"/>
      <c r="R30" s="239"/>
      <c r="S30" s="239"/>
      <c r="T30" s="262"/>
    </row>
    <row r="31" spans="1:21" s="234" customFormat="1" ht="20" x14ac:dyDescent="0.4">
      <c r="A31" s="230"/>
      <c r="B31" s="230" t="s">
        <v>4</v>
      </c>
      <c r="C31" s="246" t="s">
        <v>130</v>
      </c>
      <c r="D31" s="246"/>
      <c r="E31" s="246"/>
      <c r="F31" s="243">
        <f ca="1">H31/12</f>
        <v>1615.9476286431648</v>
      </c>
      <c r="G31" s="243"/>
      <c r="H31" s="263">
        <f ca="1">D5/(D5+1)*(H22-H27-H25)</f>
        <v>19391.371539854907</v>
      </c>
      <c r="L31" s="238"/>
      <c r="N31" s="230" t="s">
        <v>4</v>
      </c>
      <c r="O31" s="246" t="s">
        <v>131</v>
      </c>
      <c r="P31" s="246"/>
      <c r="Q31" s="246"/>
      <c r="R31" s="243"/>
      <c r="S31" s="243"/>
      <c r="U31" s="263">
        <f ca="1">0.3*(T22-T25-T27)</f>
        <v>10462.516916323895</v>
      </c>
    </row>
    <row r="32" spans="1:21" x14ac:dyDescent="0.35">
      <c r="C32" s="250" t="s">
        <v>132</v>
      </c>
      <c r="D32" s="250"/>
      <c r="E32" s="250"/>
      <c r="F32" s="239"/>
      <c r="G32" s="239"/>
      <c r="H32" s="239"/>
      <c r="O32" s="250" t="s">
        <v>132</v>
      </c>
      <c r="P32" s="250"/>
      <c r="Q32" s="250"/>
      <c r="R32" s="239"/>
      <c r="S32" s="239"/>
      <c r="T32" s="239"/>
    </row>
    <row r="33" spans="1:20" x14ac:dyDescent="0.35">
      <c r="C33" s="250"/>
      <c r="D33" s="250"/>
      <c r="E33" s="250"/>
      <c r="F33" s="239"/>
      <c r="G33" s="239"/>
      <c r="H33" s="239"/>
      <c r="K33" s="264"/>
      <c r="L33" s="265"/>
      <c r="M33" s="266"/>
      <c r="O33" s="250"/>
      <c r="P33" s="250"/>
      <c r="Q33" s="250"/>
      <c r="R33" s="239"/>
      <c r="S33" s="239"/>
      <c r="T33" s="239"/>
    </row>
    <row r="34" spans="1:20" ht="23" x14ac:dyDescent="0.5">
      <c r="A34" s="234"/>
      <c r="B34" s="268" t="s">
        <v>2</v>
      </c>
      <c r="C34" s="269" t="s">
        <v>133</v>
      </c>
      <c r="D34" s="269"/>
      <c r="E34" s="269"/>
      <c r="F34" s="270">
        <f ca="1">H34/12</f>
        <v>3231.8952572863304</v>
      </c>
      <c r="G34" s="270"/>
      <c r="H34" s="279">
        <f ca="1">H22-H31-H27-H25</f>
        <v>38782.74307970982</v>
      </c>
      <c r="I34" s="271"/>
      <c r="J34" s="271"/>
      <c r="K34" s="271"/>
      <c r="L34" s="272"/>
      <c r="M34" s="271"/>
      <c r="N34" s="268" t="s">
        <v>2</v>
      </c>
      <c r="O34" s="269" t="s">
        <v>133</v>
      </c>
      <c r="P34" s="269"/>
      <c r="Q34" s="269"/>
      <c r="R34" s="270">
        <f ca="1">T34/12</f>
        <v>2906.2546989788593</v>
      </c>
      <c r="S34" s="270"/>
      <c r="T34" s="283">
        <f ca="1">T22-T25-T27</f>
        <v>34875.056387746321</v>
      </c>
    </row>
    <row r="35" spans="1:20" ht="17.5" customHeight="1" x14ac:dyDescent="0.35">
      <c r="C35" s="250"/>
      <c r="D35" s="250"/>
      <c r="E35" s="250"/>
      <c r="F35" s="239"/>
      <c r="G35" s="239"/>
      <c r="H35" s="239"/>
    </row>
    <row r="36" spans="1:20" ht="17.5" customHeight="1" x14ac:dyDescent="0.35">
      <c r="C36" s="250"/>
      <c r="D36" s="250"/>
      <c r="E36" s="250"/>
      <c r="F36" s="239"/>
      <c r="G36" s="239"/>
      <c r="H36" s="239"/>
    </row>
    <row r="37" spans="1:20" s="273" customFormat="1" ht="17.5" customHeight="1" x14ac:dyDescent="0.45">
      <c r="C37" s="274" t="s">
        <v>134</v>
      </c>
      <c r="D37" s="285"/>
      <c r="E37" s="274"/>
      <c r="F37" s="275">
        <f>VLOOKUP(D4,'2027 Minister Salary Table'!$B4:$E44,2,FALSE)</f>
        <v>56303.303522512753</v>
      </c>
      <c r="G37" s="276"/>
      <c r="H37" s="274"/>
      <c r="L37" s="277"/>
      <c r="O37" s="274" t="s">
        <v>134</v>
      </c>
      <c r="Q37" s="274"/>
      <c r="R37" s="284">
        <f>VLOOKUP(P4,'2027 Minister Salary Table'!$B4:$E44,2,FALSE)</f>
        <v>50730.881822510659</v>
      </c>
      <c r="S37" s="276"/>
      <c r="T37" s="274"/>
    </row>
    <row r="38" spans="1:20" s="273" customFormat="1" ht="17.5" customHeight="1" x14ac:dyDescent="0.45">
      <c r="C38" s="274" t="s">
        <v>135</v>
      </c>
      <c r="D38" s="286"/>
      <c r="E38" s="274"/>
      <c r="F38" s="274">
        <f ca="1">H34/F37</f>
        <v>0.68881825138737418</v>
      </c>
      <c r="G38" s="276"/>
      <c r="H38" s="276"/>
      <c r="L38" s="277"/>
      <c r="O38" s="274" t="s">
        <v>135</v>
      </c>
      <c r="R38" s="278">
        <f ca="1">T34/R37</f>
        <v>0.68745220139799179</v>
      </c>
      <c r="T38" s="282"/>
    </row>
    <row r="39" spans="1:20" x14ac:dyDescent="0.35">
      <c r="C39" s="250"/>
      <c r="D39" s="250"/>
      <c r="E39" s="250"/>
      <c r="F39" s="239"/>
      <c r="G39" s="239"/>
      <c r="H39" s="239"/>
    </row>
    <row r="41" spans="1:20" ht="27" customHeight="1" x14ac:dyDescent="0.35">
      <c r="B41" s="267" t="s">
        <v>136</v>
      </c>
      <c r="C41" s="297" t="s">
        <v>137</v>
      </c>
      <c r="D41" s="298"/>
      <c r="E41" s="298"/>
      <c r="F41" s="298"/>
      <c r="G41" s="298"/>
      <c r="H41" s="299"/>
      <c r="N41" s="267" t="s">
        <v>136</v>
      </c>
      <c r="O41" s="297" t="s">
        <v>137</v>
      </c>
      <c r="P41" s="298"/>
      <c r="Q41" s="298"/>
      <c r="R41" s="298"/>
      <c r="S41" s="298"/>
      <c r="T41" s="299"/>
    </row>
    <row r="42" spans="1:20" ht="18" customHeight="1" x14ac:dyDescent="0.35">
      <c r="C42" s="300"/>
      <c r="D42" s="301"/>
      <c r="E42" s="301"/>
      <c r="F42" s="301"/>
      <c r="G42" s="301"/>
      <c r="H42" s="302"/>
      <c r="O42" s="300"/>
      <c r="P42" s="301"/>
      <c r="Q42" s="301"/>
      <c r="R42" s="301"/>
      <c r="S42" s="301"/>
      <c r="T42" s="302"/>
    </row>
    <row r="43" spans="1:20" ht="18" customHeight="1" x14ac:dyDescent="0.35">
      <c r="C43" s="300"/>
      <c r="D43" s="301"/>
      <c r="E43" s="301"/>
      <c r="F43" s="301"/>
      <c r="G43" s="301"/>
      <c r="H43" s="302"/>
      <c r="O43" s="300"/>
      <c r="P43" s="301"/>
      <c r="Q43" s="301"/>
      <c r="R43" s="301"/>
      <c r="S43" s="301"/>
      <c r="T43" s="302"/>
    </row>
    <row r="44" spans="1:20" ht="35.5" customHeight="1" x14ac:dyDescent="0.35">
      <c r="C44" s="303"/>
      <c r="D44" s="304"/>
      <c r="E44" s="304"/>
      <c r="F44" s="304"/>
      <c r="G44" s="304"/>
      <c r="H44" s="305"/>
      <c r="O44" s="303"/>
      <c r="P44" s="304"/>
      <c r="Q44" s="304"/>
      <c r="R44" s="304"/>
      <c r="S44" s="304"/>
      <c r="T44" s="305"/>
    </row>
  </sheetData>
  <mergeCells count="9">
    <mergeCell ref="C41:H44"/>
    <mergeCell ref="O41:T44"/>
    <mergeCell ref="C2:H2"/>
    <mergeCell ref="O2:T2"/>
    <mergeCell ref="B4:C4"/>
    <mergeCell ref="N4:O4"/>
    <mergeCell ref="B5:C5"/>
    <mergeCell ref="B22:E22"/>
    <mergeCell ref="N22:Q22"/>
  </mergeCells>
  <pageMargins left="0.7" right="0.7" top="0.75" bottom="0.75" header="0.3" footer="0.3"/>
  <pageSetup scale="84" fitToWidth="0" orientation="portrait" horizontalDpi="4294967293" verticalDpi="4294967293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08BE-A1B3-444B-8567-D56722313350}">
  <dimension ref="A2:R45"/>
  <sheetViews>
    <sheetView topLeftCell="A2" zoomScaleNormal="100" workbookViewId="0">
      <selection activeCell="B5" sqref="B5"/>
    </sheetView>
  </sheetViews>
  <sheetFormatPr defaultColWidth="12.1796875" defaultRowHeight="13" x14ac:dyDescent="0.3"/>
  <cols>
    <col min="1" max="1" width="8.81640625" style="158" customWidth="1"/>
    <col min="2" max="2" width="9.1796875" style="158" customWidth="1"/>
    <col min="3" max="3" width="8.54296875" style="170" customWidth="1"/>
    <col min="4" max="4" width="2.90625" style="26" hidden="1" customWidth="1"/>
    <col min="5" max="5" width="11.26953125" style="171" customWidth="1"/>
    <col min="6" max="6" width="9.7265625" style="26" hidden="1" customWidth="1"/>
    <col min="7" max="7" width="10.1796875" style="26" hidden="1" customWidth="1"/>
    <col min="8" max="8" width="13" style="26" hidden="1" customWidth="1"/>
    <col min="9" max="9" width="12.1796875" style="26"/>
    <col min="10" max="10" width="5.54296875" style="26" customWidth="1"/>
    <col min="11" max="11" width="8.7265625" style="26" customWidth="1"/>
    <col min="12" max="12" width="12.453125" style="26" customWidth="1"/>
    <col min="13" max="13" width="5.453125" style="26" customWidth="1"/>
    <col min="14" max="14" width="8.81640625" style="26" customWidth="1"/>
    <col min="15" max="15" width="12.453125" style="26" customWidth="1"/>
    <col min="16" max="16384" width="12.1796875" style="26"/>
  </cols>
  <sheetData>
    <row r="2" spans="1:18" ht="38.5" customHeight="1" x14ac:dyDescent="0.3">
      <c r="B2" s="310" t="s">
        <v>40</v>
      </c>
      <c r="C2" s="310"/>
      <c r="E2" s="174" t="s">
        <v>152</v>
      </c>
      <c r="J2" s="138"/>
      <c r="K2" s="311" t="s">
        <v>84</v>
      </c>
      <c r="L2" s="311"/>
      <c r="M2" s="311"/>
      <c r="N2" s="311"/>
      <c r="O2" s="311"/>
      <c r="P2" s="311"/>
      <c r="Q2" s="138"/>
      <c r="R2" s="138"/>
    </row>
    <row r="3" spans="1:18" s="140" customFormat="1" ht="39" x14ac:dyDescent="0.3">
      <c r="A3" s="140" t="s">
        <v>41</v>
      </c>
      <c r="B3" s="140" t="s">
        <v>42</v>
      </c>
      <c r="C3" s="159" t="s">
        <v>43</v>
      </c>
      <c r="E3" s="173" t="s">
        <v>45</v>
      </c>
      <c r="F3" s="140" t="s">
        <v>78</v>
      </c>
      <c r="G3" s="140" t="s">
        <v>79</v>
      </c>
      <c r="H3" s="140" t="s">
        <v>80</v>
      </c>
      <c r="J3" s="26" t="s">
        <v>47</v>
      </c>
      <c r="K3" s="141" t="s">
        <v>81</v>
      </c>
      <c r="L3" s="26" t="s">
        <v>48</v>
      </c>
      <c r="M3" s="140" t="s">
        <v>47</v>
      </c>
      <c r="N3" s="140" t="s">
        <v>82</v>
      </c>
      <c r="O3" s="140" t="s">
        <v>49</v>
      </c>
    </row>
    <row r="4" spans="1:18" ht="14" x14ac:dyDescent="0.3">
      <c r="A4" s="158" t="s">
        <v>50</v>
      </c>
      <c r="B4" s="160">
        <v>2027</v>
      </c>
      <c r="C4" s="161">
        <v>46573</v>
      </c>
      <c r="D4" s="148"/>
      <c r="E4" s="172">
        <f t="shared" ref="E4:E44" si="0">SUM(C4*K4)+C4</f>
        <v>48477.835700000003</v>
      </c>
      <c r="F4" s="143">
        <f t="shared" ref="F4:F44" si="1">SUM(E4*0.5)</f>
        <v>24238.917850000002</v>
      </c>
      <c r="G4" s="143">
        <f t="shared" ref="G4:G44" si="2">SUM(E4+F4)*0.0765</f>
        <v>5562.8316465750004</v>
      </c>
      <c r="H4" s="163">
        <f t="shared" ref="H4:H44" si="3">SUM(E4+F4+G4)</f>
        <v>78279.585196575004</v>
      </c>
      <c r="J4" s="26">
        <v>0</v>
      </c>
      <c r="K4" s="32">
        <v>4.0899999999999999E-2</v>
      </c>
      <c r="L4" s="34">
        <f>((0.0409-0.023)/40)</f>
        <v>4.4749999999999998E-4</v>
      </c>
      <c r="M4" s="26">
        <v>0</v>
      </c>
      <c r="N4" s="32"/>
      <c r="O4" s="34"/>
    </row>
    <row r="5" spans="1:18" x14ac:dyDescent="0.3">
      <c r="A5" s="158">
        <v>1</v>
      </c>
      <c r="B5" s="158">
        <f t="shared" ref="B5:B44" si="4">B4-1</f>
        <v>2026</v>
      </c>
      <c r="C5" s="164">
        <f t="shared" ref="C5:C44" si="5">SUM(C4*N5)+C4</f>
        <v>47411.313999999998</v>
      </c>
      <c r="D5" s="148"/>
      <c r="E5" s="162">
        <f t="shared" si="0"/>
        <v>49329.220179584998</v>
      </c>
      <c r="F5" s="143">
        <f t="shared" si="1"/>
        <v>24664.610089792499</v>
      </c>
      <c r="G5" s="143">
        <f t="shared" si="2"/>
        <v>5660.5280156073786</v>
      </c>
      <c r="H5" s="148">
        <f t="shared" si="3"/>
        <v>79654.35828498489</v>
      </c>
      <c r="J5" s="26">
        <v>1</v>
      </c>
      <c r="K5" s="32">
        <f t="shared" ref="K5:K44" si="6">K4-$L$4</f>
        <v>4.0452500000000002E-2</v>
      </c>
      <c r="L5" s="149"/>
      <c r="M5" s="26">
        <v>1</v>
      </c>
      <c r="N5" s="32">
        <v>1.7999999999999999E-2</v>
      </c>
      <c r="O5" s="34">
        <f>((0.02-0.005)/40)</f>
        <v>3.7500000000000001E-4</v>
      </c>
    </row>
    <row r="6" spans="1:18" x14ac:dyDescent="0.3">
      <c r="A6" s="158">
        <v>2</v>
      </c>
      <c r="B6" s="158">
        <f t="shared" si="4"/>
        <v>2025</v>
      </c>
      <c r="C6" s="164">
        <f t="shared" si="5"/>
        <v>48246.938409249997</v>
      </c>
      <c r="D6" s="148"/>
      <c r="E6" s="162">
        <f t="shared" si="0"/>
        <v>50177.05718031204</v>
      </c>
      <c r="F6" s="143">
        <f t="shared" si="1"/>
        <v>25088.52859015602</v>
      </c>
      <c r="G6" s="143">
        <f t="shared" si="2"/>
        <v>5757.8173114408055</v>
      </c>
      <c r="H6" s="148">
        <f t="shared" si="3"/>
        <v>81023.403081908851</v>
      </c>
      <c r="J6" s="26">
        <v>2</v>
      </c>
      <c r="K6" s="32">
        <f t="shared" si="6"/>
        <v>4.0004999999999999E-2</v>
      </c>
      <c r="M6" s="26">
        <v>2</v>
      </c>
      <c r="N6" s="32">
        <f t="shared" ref="N6:N44" si="7">N5-$O$5</f>
        <v>1.7624999999999998E-2</v>
      </c>
    </row>
    <row r="7" spans="1:18" x14ac:dyDescent="0.3">
      <c r="A7" s="158">
        <v>3</v>
      </c>
      <c r="B7" s="158">
        <f t="shared" si="4"/>
        <v>2024</v>
      </c>
      <c r="C7" s="164">
        <f t="shared" si="5"/>
        <v>49079.19809680956</v>
      </c>
      <c r="D7" s="148"/>
      <c r="E7" s="162">
        <f t="shared" si="0"/>
        <v>51020.648475524104</v>
      </c>
      <c r="F7" s="143">
        <f t="shared" si="1"/>
        <v>25510.324237762052</v>
      </c>
      <c r="G7" s="143">
        <f t="shared" si="2"/>
        <v>5854.6194125663915</v>
      </c>
      <c r="H7" s="148">
        <f t="shared" si="3"/>
        <v>82385.592125852549</v>
      </c>
      <c r="J7" s="26">
        <v>3</v>
      </c>
      <c r="K7" s="32">
        <f t="shared" si="6"/>
        <v>3.9557499999999995E-2</v>
      </c>
      <c r="M7" s="26">
        <v>3</v>
      </c>
      <c r="N7" s="32">
        <f t="shared" si="7"/>
        <v>1.7249999999999998E-2</v>
      </c>
    </row>
    <row r="8" spans="1:18" x14ac:dyDescent="0.3">
      <c r="A8" s="158">
        <v>4</v>
      </c>
      <c r="B8" s="158">
        <f t="shared" si="4"/>
        <v>2023</v>
      </c>
      <c r="C8" s="164">
        <f t="shared" si="5"/>
        <v>49907.409564693218</v>
      </c>
      <c r="D8" s="148"/>
      <c r="E8" s="162">
        <f t="shared" si="0"/>
        <v>51859.288352768366</v>
      </c>
      <c r="F8" s="143">
        <f t="shared" si="1"/>
        <v>25929.644176384183</v>
      </c>
      <c r="G8" s="143">
        <f t="shared" si="2"/>
        <v>5950.8533384801694</v>
      </c>
      <c r="H8" s="148">
        <f t="shared" si="3"/>
        <v>83739.785867632716</v>
      </c>
      <c r="J8" s="26">
        <v>4</v>
      </c>
      <c r="K8" s="32">
        <f t="shared" si="6"/>
        <v>3.9109999999999992E-2</v>
      </c>
      <c r="M8" s="26">
        <v>4</v>
      </c>
      <c r="N8" s="32">
        <f t="shared" si="7"/>
        <v>1.6874999999999998E-2</v>
      </c>
    </row>
    <row r="9" spans="1:18" s="155" customFormat="1" x14ac:dyDescent="0.3">
      <c r="A9" s="165">
        <v>5</v>
      </c>
      <c r="B9" s="165">
        <f t="shared" si="4"/>
        <v>2022</v>
      </c>
      <c r="C9" s="166">
        <f t="shared" si="5"/>
        <v>50730.881822510659</v>
      </c>
      <c r="D9" s="154"/>
      <c r="E9" s="167">
        <f t="shared" si="0"/>
        <v>52692.264540973476</v>
      </c>
      <c r="F9" s="151">
        <f t="shared" si="1"/>
        <v>26346.132270486738</v>
      </c>
      <c r="G9" s="153">
        <f t="shared" si="2"/>
        <v>6046.4373560767062</v>
      </c>
      <c r="H9" s="154">
        <f t="shared" si="3"/>
        <v>85084.83416753693</v>
      </c>
      <c r="J9" s="155">
        <v>5</v>
      </c>
      <c r="K9" s="156">
        <f t="shared" si="6"/>
        <v>3.8662499999999989E-2</v>
      </c>
      <c r="M9" s="155">
        <v>5</v>
      </c>
      <c r="N9" s="156">
        <f t="shared" si="7"/>
        <v>1.6499999999999997E-2</v>
      </c>
      <c r="P9" s="155">
        <f>C9/C4</f>
        <v>1.089276658632913</v>
      </c>
    </row>
    <row r="10" spans="1:18" x14ac:dyDescent="0.3">
      <c r="A10" s="158">
        <v>6</v>
      </c>
      <c r="B10" s="168">
        <f t="shared" si="4"/>
        <v>2021</v>
      </c>
      <c r="C10" s="164">
        <f t="shared" si="5"/>
        <v>51548.917291898644</v>
      </c>
      <c r="D10" s="148"/>
      <c r="E10" s="162">
        <f t="shared" si="0"/>
        <v>53518.859166208553</v>
      </c>
      <c r="F10" s="143">
        <f t="shared" si="1"/>
        <v>26759.429583104276</v>
      </c>
      <c r="G10" s="143">
        <f t="shared" si="2"/>
        <v>6141.2890893224321</v>
      </c>
      <c r="H10" s="148">
        <f t="shared" si="3"/>
        <v>86419.577838635276</v>
      </c>
      <c r="J10" s="26">
        <v>6</v>
      </c>
      <c r="K10" s="32">
        <f t="shared" si="6"/>
        <v>3.8214999999999985E-2</v>
      </c>
      <c r="M10" s="26">
        <v>6</v>
      </c>
      <c r="N10" s="32">
        <f t="shared" si="7"/>
        <v>1.6124999999999997E-2</v>
      </c>
    </row>
    <row r="11" spans="1:18" x14ac:dyDescent="0.3">
      <c r="A11" s="158">
        <v>7</v>
      </c>
      <c r="B11" s="158">
        <f t="shared" si="4"/>
        <v>2020</v>
      </c>
      <c r="C11" s="164">
        <f t="shared" si="5"/>
        <v>52360.812739246045</v>
      </c>
      <c r="D11" s="148"/>
      <c r="E11" s="162">
        <f t="shared" si="0"/>
        <v>54338.349734375515</v>
      </c>
      <c r="F11" s="143">
        <f t="shared" si="1"/>
        <v>27169.174867187758</v>
      </c>
      <c r="G11" s="143">
        <f t="shared" si="2"/>
        <v>6235.3256320195906</v>
      </c>
      <c r="H11" s="148">
        <f t="shared" si="3"/>
        <v>87742.850233582867</v>
      </c>
      <c r="J11" s="26">
        <v>7</v>
      </c>
      <c r="K11" s="32">
        <f t="shared" si="6"/>
        <v>3.7767499999999982E-2</v>
      </c>
      <c r="M11" s="26">
        <v>7</v>
      </c>
      <c r="N11" s="32">
        <f t="shared" si="7"/>
        <v>1.5749999999999997E-2</v>
      </c>
    </row>
    <row r="12" spans="1:18" x14ac:dyDescent="0.3">
      <c r="A12" s="158">
        <v>8</v>
      </c>
      <c r="B12" s="158">
        <f t="shared" si="4"/>
        <v>2019</v>
      </c>
      <c r="C12" s="164">
        <f t="shared" si="5"/>
        <v>53165.860235111955</v>
      </c>
      <c r="D12" s="148"/>
      <c r="E12" s="162">
        <f t="shared" si="0"/>
        <v>55150.010139086335</v>
      </c>
      <c r="F12" s="143">
        <f t="shared" si="1"/>
        <v>27575.005069543167</v>
      </c>
      <c r="G12" s="143">
        <f t="shared" si="2"/>
        <v>6328.4636634601566</v>
      </c>
      <c r="H12" s="148">
        <f t="shared" si="3"/>
        <v>89053.478872089661</v>
      </c>
      <c r="J12" s="26">
        <v>8</v>
      </c>
      <c r="K12" s="32">
        <f t="shared" si="6"/>
        <v>3.7319999999999978E-2</v>
      </c>
      <c r="M12" s="26">
        <v>8</v>
      </c>
      <c r="N12" s="32">
        <f t="shared" si="7"/>
        <v>1.5374999999999996E-2</v>
      </c>
    </row>
    <row r="13" spans="1:18" x14ac:dyDescent="0.3">
      <c r="A13" s="158">
        <v>9</v>
      </c>
      <c r="B13" s="158">
        <f t="shared" si="4"/>
        <v>2018</v>
      </c>
      <c r="C13" s="164">
        <f t="shared" si="5"/>
        <v>53963.348138638634</v>
      </c>
      <c r="D13" s="148"/>
      <c r="E13" s="162">
        <f t="shared" si="0"/>
        <v>55953.111692880586</v>
      </c>
      <c r="F13" s="143">
        <f t="shared" si="1"/>
        <v>27976.555846440293</v>
      </c>
      <c r="G13" s="143">
        <f t="shared" si="2"/>
        <v>6420.6195667580478</v>
      </c>
      <c r="H13" s="148">
        <f t="shared" si="3"/>
        <v>90350.287106078933</v>
      </c>
      <c r="J13" s="26">
        <v>9</v>
      </c>
      <c r="K13" s="32">
        <f t="shared" si="6"/>
        <v>3.6872499999999975E-2</v>
      </c>
      <c r="M13" s="26">
        <v>9</v>
      </c>
      <c r="N13" s="32">
        <f t="shared" si="7"/>
        <v>1.4999999999999996E-2</v>
      </c>
    </row>
    <row r="14" spans="1:18" s="150" customFormat="1" x14ac:dyDescent="0.3">
      <c r="A14" s="165">
        <v>10</v>
      </c>
      <c r="B14" s="165">
        <f t="shared" si="4"/>
        <v>2017</v>
      </c>
      <c r="C14" s="166">
        <f t="shared" si="5"/>
        <v>54752.562105166224</v>
      </c>
      <c r="D14" s="154"/>
      <c r="E14" s="169">
        <f t="shared" si="0"/>
        <v>56746.924179846901</v>
      </c>
      <c r="F14" s="151">
        <f t="shared" si="1"/>
        <v>28373.462089923451</v>
      </c>
      <c r="G14" s="151">
        <f t="shared" si="2"/>
        <v>6511.7095496374322</v>
      </c>
      <c r="H14" s="154">
        <f t="shared" si="3"/>
        <v>91632.095819407798</v>
      </c>
      <c r="J14" s="150">
        <v>10</v>
      </c>
      <c r="K14" s="157">
        <f t="shared" si="6"/>
        <v>3.6424999999999971E-2</v>
      </c>
      <c r="M14" s="150">
        <v>10</v>
      </c>
      <c r="N14" s="157">
        <f t="shared" si="7"/>
        <v>1.4624999999999996E-2</v>
      </c>
    </row>
    <row r="15" spans="1:18" x14ac:dyDescent="0.3">
      <c r="A15" s="158">
        <v>11</v>
      </c>
      <c r="B15" s="168">
        <f t="shared" si="4"/>
        <v>2016</v>
      </c>
      <c r="C15" s="164">
        <f t="shared" si="5"/>
        <v>55532.786115164839</v>
      </c>
      <c r="D15" s="148"/>
      <c r="E15" s="162">
        <f t="shared" si="0"/>
        <v>57530.71692762318</v>
      </c>
      <c r="F15" s="143">
        <f t="shared" si="1"/>
        <v>28765.35846381159</v>
      </c>
      <c r="G15" s="143">
        <f t="shared" si="2"/>
        <v>6601.6497674447601</v>
      </c>
      <c r="H15" s="148">
        <f t="shared" si="3"/>
        <v>92897.725158879533</v>
      </c>
      <c r="J15" s="26">
        <v>11</v>
      </c>
      <c r="K15" s="32">
        <f t="shared" si="6"/>
        <v>3.5977499999999968E-2</v>
      </c>
      <c r="M15" s="26">
        <v>11</v>
      </c>
      <c r="N15" s="32">
        <f t="shared" si="7"/>
        <v>1.4249999999999995E-2</v>
      </c>
    </row>
    <row r="16" spans="1:18" x14ac:dyDescent="0.3">
      <c r="A16" s="158">
        <v>12</v>
      </c>
      <c r="B16" s="158">
        <f t="shared" si="4"/>
        <v>2015</v>
      </c>
      <c r="C16" s="164">
        <f t="shared" si="5"/>
        <v>56303.303522512753</v>
      </c>
      <c r="D16" s="148"/>
      <c r="E16" s="162">
        <f t="shared" si="0"/>
        <v>58303.759896667631</v>
      </c>
      <c r="F16" s="143">
        <f t="shared" si="1"/>
        <v>29151.879948333815</v>
      </c>
      <c r="G16" s="143">
        <f t="shared" si="2"/>
        <v>6690.356448142611</v>
      </c>
      <c r="H16" s="148">
        <f t="shared" si="3"/>
        <v>94145.996293144068</v>
      </c>
      <c r="J16" s="26">
        <v>12</v>
      </c>
      <c r="K16" s="32">
        <f t="shared" si="6"/>
        <v>3.5529999999999964E-2</v>
      </c>
      <c r="M16" s="26">
        <v>12</v>
      </c>
      <c r="N16" s="32">
        <f t="shared" si="7"/>
        <v>1.3874999999999995E-2</v>
      </c>
    </row>
    <row r="17" spans="1:14" x14ac:dyDescent="0.3">
      <c r="A17" s="158">
        <v>13</v>
      </c>
      <c r="B17" s="158">
        <f t="shared" si="4"/>
        <v>2014</v>
      </c>
      <c r="C17" s="164">
        <f t="shared" si="5"/>
        <v>57063.398120066675</v>
      </c>
      <c r="D17" s="148"/>
      <c r="E17" s="162">
        <f t="shared" si="0"/>
        <v>59065.324784613913</v>
      </c>
      <c r="F17" s="143">
        <f t="shared" si="1"/>
        <v>29532.662392306956</v>
      </c>
      <c r="G17" s="143">
        <f t="shared" si="2"/>
        <v>6777.7460190344464</v>
      </c>
      <c r="H17" s="148">
        <f t="shared" si="3"/>
        <v>95375.733195955312</v>
      </c>
      <c r="J17" s="26">
        <v>13</v>
      </c>
      <c r="K17" s="32">
        <f t="shared" si="6"/>
        <v>3.5082499999999961E-2</v>
      </c>
      <c r="M17" s="26">
        <v>13</v>
      </c>
      <c r="N17" s="32">
        <f t="shared" si="7"/>
        <v>1.3499999999999995E-2</v>
      </c>
    </row>
    <row r="18" spans="1:14" x14ac:dyDescent="0.3">
      <c r="A18" s="158">
        <v>14</v>
      </c>
      <c r="B18" s="158">
        <f t="shared" si="4"/>
        <v>2013</v>
      </c>
      <c r="C18" s="164">
        <f t="shared" si="5"/>
        <v>57812.35522039255</v>
      </c>
      <c r="D18" s="148"/>
      <c r="E18" s="162">
        <f t="shared" si="0"/>
        <v>59814.686143450846</v>
      </c>
      <c r="F18" s="143">
        <f t="shared" si="1"/>
        <v>29907.343071725423</v>
      </c>
      <c r="G18" s="143">
        <f t="shared" si="2"/>
        <v>6863.7352349609846</v>
      </c>
      <c r="H18" s="148">
        <f t="shared" si="3"/>
        <v>96585.764450137256</v>
      </c>
      <c r="J18" s="26">
        <v>14</v>
      </c>
      <c r="K18" s="32">
        <f t="shared" si="6"/>
        <v>3.4634999999999957E-2</v>
      </c>
      <c r="M18" s="26">
        <v>14</v>
      </c>
      <c r="N18" s="32">
        <f t="shared" si="7"/>
        <v>1.3124999999999994E-2</v>
      </c>
    </row>
    <row r="19" spans="1:14" s="150" customFormat="1" x14ac:dyDescent="0.3">
      <c r="A19" s="165">
        <v>15</v>
      </c>
      <c r="B19" s="165">
        <f t="shared" si="4"/>
        <v>2012</v>
      </c>
      <c r="C19" s="166">
        <f t="shared" si="5"/>
        <v>58549.462749452556</v>
      </c>
      <c r="D19" s="154"/>
      <c r="E19" s="169">
        <f t="shared" si="0"/>
        <v>60551.122507199463</v>
      </c>
      <c r="F19" s="151">
        <f t="shared" si="1"/>
        <v>30275.561253599732</v>
      </c>
      <c r="G19" s="151">
        <f t="shared" si="2"/>
        <v>6948.2413077011379</v>
      </c>
      <c r="H19" s="154">
        <f t="shared" si="3"/>
        <v>97774.925068500335</v>
      </c>
      <c r="J19" s="150">
        <v>15</v>
      </c>
      <c r="K19" s="157">
        <f t="shared" si="6"/>
        <v>3.4187499999999954E-2</v>
      </c>
      <c r="M19" s="150">
        <v>15</v>
      </c>
      <c r="N19" s="157">
        <f t="shared" si="7"/>
        <v>1.2749999999999994E-2</v>
      </c>
    </row>
    <row r="20" spans="1:14" x14ac:dyDescent="0.3">
      <c r="A20" s="158">
        <v>16</v>
      </c>
      <c r="B20" s="168">
        <f t="shared" si="4"/>
        <v>2011</v>
      </c>
      <c r="C20" s="164">
        <f t="shared" si="5"/>
        <v>59274.012350977027</v>
      </c>
      <c r="D20" s="148"/>
      <c r="E20" s="162">
        <f t="shared" si="0"/>
        <v>61273.917527698992</v>
      </c>
      <c r="F20" s="143">
        <f t="shared" si="1"/>
        <v>30636.958763849496</v>
      </c>
      <c r="G20" s="143">
        <f t="shared" si="2"/>
        <v>7031.1820363034585</v>
      </c>
      <c r="H20" s="148">
        <f t="shared" si="3"/>
        <v>98942.058327851948</v>
      </c>
      <c r="J20" s="26">
        <v>16</v>
      </c>
      <c r="K20" s="32">
        <f t="shared" si="6"/>
        <v>3.3739999999999951E-2</v>
      </c>
      <c r="M20" s="26">
        <v>16</v>
      </c>
      <c r="N20" s="32">
        <f t="shared" si="7"/>
        <v>1.2374999999999994E-2</v>
      </c>
    </row>
    <row r="21" spans="1:14" x14ac:dyDescent="0.3">
      <c r="A21" s="158">
        <v>17</v>
      </c>
      <c r="B21" s="158">
        <f t="shared" si="4"/>
        <v>2010</v>
      </c>
      <c r="C21" s="164">
        <f t="shared" si="5"/>
        <v>59985.30049918875</v>
      </c>
      <c r="D21" s="148"/>
      <c r="E21" s="162">
        <f t="shared" si="0"/>
        <v>61982.361116057989</v>
      </c>
      <c r="F21" s="143">
        <f t="shared" si="1"/>
        <v>30991.180558028995</v>
      </c>
      <c r="G21" s="143">
        <f t="shared" si="2"/>
        <v>7112.4759380676542</v>
      </c>
      <c r="H21" s="148">
        <f t="shared" si="3"/>
        <v>100086.01761215464</v>
      </c>
      <c r="J21" s="26">
        <v>17</v>
      </c>
      <c r="K21" s="32">
        <f t="shared" si="6"/>
        <v>3.3292499999999947E-2</v>
      </c>
      <c r="M21" s="26">
        <v>17</v>
      </c>
      <c r="N21" s="32">
        <f t="shared" si="7"/>
        <v>1.1999999999999993E-2</v>
      </c>
    </row>
    <row r="22" spans="1:14" x14ac:dyDescent="0.3">
      <c r="A22" s="158">
        <v>18</v>
      </c>
      <c r="B22" s="158">
        <f t="shared" si="4"/>
        <v>2009</v>
      </c>
      <c r="C22" s="164">
        <f t="shared" si="5"/>
        <v>60682.629617491817</v>
      </c>
      <c r="D22" s="148"/>
      <c r="E22" s="162">
        <f t="shared" si="0"/>
        <v>62675.750587278329</v>
      </c>
      <c r="F22" s="143">
        <f t="shared" si="1"/>
        <v>31337.875293639165</v>
      </c>
      <c r="G22" s="143">
        <f t="shared" si="2"/>
        <v>7192.0423798901875</v>
      </c>
      <c r="H22" s="148">
        <f t="shared" si="3"/>
        <v>101205.66826080768</v>
      </c>
      <c r="J22" s="26">
        <v>18</v>
      </c>
      <c r="K22" s="32">
        <f t="shared" si="6"/>
        <v>3.2844999999999944E-2</v>
      </c>
      <c r="M22" s="26">
        <v>18</v>
      </c>
      <c r="N22" s="32">
        <f t="shared" si="7"/>
        <v>1.1624999999999993E-2</v>
      </c>
    </row>
    <row r="23" spans="1:14" x14ac:dyDescent="0.3">
      <c r="A23" s="158">
        <v>19</v>
      </c>
      <c r="B23" s="158">
        <f t="shared" si="4"/>
        <v>2008</v>
      </c>
      <c r="C23" s="164">
        <f t="shared" si="5"/>
        <v>61365.3092006886</v>
      </c>
      <c r="D23" s="148"/>
      <c r="E23" s="162">
        <f t="shared" si="0"/>
        <v>63353.391805517902</v>
      </c>
      <c r="F23" s="143">
        <f t="shared" si="1"/>
        <v>31676.695902758951</v>
      </c>
      <c r="G23" s="143">
        <f t="shared" si="2"/>
        <v>7269.8017096831791</v>
      </c>
      <c r="H23" s="148">
        <f t="shared" si="3"/>
        <v>102299.88941796003</v>
      </c>
      <c r="J23" s="26">
        <v>19</v>
      </c>
      <c r="K23" s="32">
        <f t="shared" si="6"/>
        <v>3.239749999999994E-2</v>
      </c>
      <c r="M23" s="26">
        <v>19</v>
      </c>
      <c r="N23" s="32">
        <f t="shared" si="7"/>
        <v>1.1249999999999993E-2</v>
      </c>
    </row>
    <row r="24" spans="1:14" s="150" customFormat="1" x14ac:dyDescent="0.3">
      <c r="A24" s="165">
        <v>20</v>
      </c>
      <c r="B24" s="165">
        <f t="shared" si="4"/>
        <v>2007</v>
      </c>
      <c r="C24" s="166">
        <f t="shared" si="5"/>
        <v>62032.656938246088</v>
      </c>
      <c r="D24" s="154"/>
      <c r="E24" s="169">
        <f t="shared" si="0"/>
        <v>64014.600327423046</v>
      </c>
      <c r="F24" s="151">
        <f t="shared" si="1"/>
        <v>32007.300163711523</v>
      </c>
      <c r="G24" s="151">
        <f t="shared" si="2"/>
        <v>7345.6753875717941</v>
      </c>
      <c r="H24" s="154">
        <f t="shared" si="3"/>
        <v>103367.57587870637</v>
      </c>
      <c r="J24" s="150">
        <v>20</v>
      </c>
      <c r="K24" s="157">
        <f t="shared" si="6"/>
        <v>3.1949999999999937E-2</v>
      </c>
      <c r="M24" s="150">
        <v>20</v>
      </c>
      <c r="N24" s="157">
        <f t="shared" si="7"/>
        <v>1.0874999999999992E-2</v>
      </c>
    </row>
    <row r="25" spans="1:14" x14ac:dyDescent="0.3">
      <c r="A25" s="158">
        <v>21</v>
      </c>
      <c r="B25" s="168">
        <f t="shared" si="4"/>
        <v>2006</v>
      </c>
      <c r="C25" s="164">
        <f t="shared" si="5"/>
        <v>62683.999836097668</v>
      </c>
      <c r="D25" s="148"/>
      <c r="E25" s="162">
        <f t="shared" si="0"/>
        <v>64658.702540934333</v>
      </c>
      <c r="F25" s="143">
        <f t="shared" si="1"/>
        <v>32329.351270467167</v>
      </c>
      <c r="G25" s="143">
        <f t="shared" si="2"/>
        <v>7419.5861165722154</v>
      </c>
      <c r="H25" s="148">
        <f t="shared" si="3"/>
        <v>104407.63992797372</v>
      </c>
      <c r="J25" s="26">
        <v>21</v>
      </c>
      <c r="K25" s="32">
        <f t="shared" si="6"/>
        <v>3.1502499999999933E-2</v>
      </c>
      <c r="M25" s="26">
        <v>21</v>
      </c>
      <c r="N25" s="32">
        <f t="shared" si="7"/>
        <v>1.0499999999999992E-2</v>
      </c>
    </row>
    <row r="26" spans="1:14" x14ac:dyDescent="0.3">
      <c r="A26" s="158">
        <v>22</v>
      </c>
      <c r="B26" s="158">
        <f t="shared" si="4"/>
        <v>2005</v>
      </c>
      <c r="C26" s="164">
        <f t="shared" si="5"/>
        <v>63318.675334438158</v>
      </c>
      <c r="D26" s="148"/>
      <c r="E26" s="162">
        <f t="shared" si="0"/>
        <v>65285.036796949127</v>
      </c>
      <c r="F26" s="143">
        <f t="shared" si="1"/>
        <v>32642.518398474564</v>
      </c>
      <c r="G26" s="143">
        <f t="shared" si="2"/>
        <v>7491.4579724499117</v>
      </c>
      <c r="H26" s="148">
        <f t="shared" si="3"/>
        <v>105419.01316787359</v>
      </c>
      <c r="J26" s="26">
        <v>22</v>
      </c>
      <c r="K26" s="32">
        <f t="shared" si="6"/>
        <v>3.1054999999999933E-2</v>
      </c>
      <c r="M26" s="26">
        <v>22</v>
      </c>
      <c r="N26" s="32">
        <f t="shared" si="7"/>
        <v>1.0124999999999992E-2</v>
      </c>
    </row>
    <row r="27" spans="1:14" x14ac:dyDescent="0.3">
      <c r="A27" s="158">
        <v>23</v>
      </c>
      <c r="B27" s="158">
        <f t="shared" si="4"/>
        <v>2004</v>
      </c>
      <c r="C27" s="164">
        <f t="shared" si="5"/>
        <v>63936.032418948933</v>
      </c>
      <c r="D27" s="148"/>
      <c r="E27" s="162">
        <f t="shared" si="0"/>
        <v>65892.954531211901</v>
      </c>
      <c r="F27" s="143">
        <f t="shared" si="1"/>
        <v>32946.47726560595</v>
      </c>
      <c r="G27" s="143">
        <f t="shared" si="2"/>
        <v>7561.2165324565658</v>
      </c>
      <c r="H27" s="148">
        <f t="shared" si="3"/>
        <v>106400.64832927442</v>
      </c>
      <c r="J27" s="26">
        <v>23</v>
      </c>
      <c r="K27" s="32">
        <f t="shared" si="6"/>
        <v>3.0607499999999933E-2</v>
      </c>
      <c r="M27" s="26">
        <v>23</v>
      </c>
      <c r="N27" s="32">
        <f t="shared" si="7"/>
        <v>9.7499999999999913E-3</v>
      </c>
    </row>
    <row r="28" spans="1:14" x14ac:dyDescent="0.3">
      <c r="A28" s="158">
        <v>24</v>
      </c>
      <c r="B28" s="158">
        <f t="shared" si="4"/>
        <v>2003</v>
      </c>
      <c r="C28" s="164">
        <f t="shared" si="5"/>
        <v>64535.432722876576</v>
      </c>
      <c r="D28" s="148"/>
      <c r="E28" s="162">
        <f t="shared" si="0"/>
        <v>66481.821373798535</v>
      </c>
      <c r="F28" s="143">
        <f t="shared" si="1"/>
        <v>33240.910686899268</v>
      </c>
      <c r="G28" s="143">
        <f t="shared" si="2"/>
        <v>7628.7890026433815</v>
      </c>
      <c r="H28" s="148">
        <f t="shared" si="3"/>
        <v>107351.52106334118</v>
      </c>
      <c r="J28" s="26">
        <v>24</v>
      </c>
      <c r="K28" s="32">
        <f t="shared" si="6"/>
        <v>3.0159999999999933E-2</v>
      </c>
      <c r="M28" s="26">
        <v>24</v>
      </c>
      <c r="N28" s="32">
        <f t="shared" si="7"/>
        <v>9.374999999999991E-3</v>
      </c>
    </row>
    <row r="29" spans="1:14" s="150" customFormat="1" x14ac:dyDescent="0.3">
      <c r="A29" s="165">
        <v>25</v>
      </c>
      <c r="B29" s="165">
        <f t="shared" si="4"/>
        <v>2002</v>
      </c>
      <c r="C29" s="166">
        <f t="shared" si="5"/>
        <v>65116.251617382462</v>
      </c>
      <c r="D29" s="154"/>
      <c r="E29" s="169">
        <f t="shared" si="0"/>
        <v>67051.018243563929</v>
      </c>
      <c r="F29" s="151">
        <f t="shared" si="1"/>
        <v>33525.509121781964</v>
      </c>
      <c r="G29" s="151">
        <f t="shared" si="2"/>
        <v>7694.1043434489602</v>
      </c>
      <c r="H29" s="154">
        <f t="shared" si="3"/>
        <v>108270.63170879484</v>
      </c>
      <c r="J29" s="150">
        <v>25</v>
      </c>
      <c r="K29" s="157">
        <f t="shared" si="6"/>
        <v>2.9712499999999933E-2</v>
      </c>
      <c r="M29" s="150">
        <v>25</v>
      </c>
      <c r="N29" s="157">
        <f t="shared" si="7"/>
        <v>8.9999999999999906E-3</v>
      </c>
    </row>
    <row r="30" spans="1:14" x14ac:dyDescent="0.3">
      <c r="A30" s="158">
        <v>26</v>
      </c>
      <c r="B30" s="168">
        <f t="shared" si="4"/>
        <v>2001</v>
      </c>
      <c r="C30" s="164">
        <f t="shared" si="5"/>
        <v>65677.879287582386</v>
      </c>
      <c r="D30" s="148"/>
      <c r="E30" s="162">
        <f t="shared" si="0"/>
        <v>67599.942424933484</v>
      </c>
      <c r="F30" s="143">
        <f t="shared" si="1"/>
        <v>33799.971212466742</v>
      </c>
      <c r="G30" s="143">
        <f t="shared" si="2"/>
        <v>7757.0933932611169</v>
      </c>
      <c r="H30" s="148">
        <f t="shared" si="3"/>
        <v>109157.00703066135</v>
      </c>
      <c r="J30" s="26">
        <v>26</v>
      </c>
      <c r="K30" s="32">
        <f t="shared" si="6"/>
        <v>2.9264999999999933E-2</v>
      </c>
      <c r="M30" s="26">
        <v>26</v>
      </c>
      <c r="N30" s="32">
        <f t="shared" si="7"/>
        <v>8.6249999999999903E-3</v>
      </c>
    </row>
    <row r="31" spans="1:14" x14ac:dyDescent="0.3">
      <c r="A31" s="158">
        <v>27</v>
      </c>
      <c r="B31" s="158">
        <f t="shared" si="4"/>
        <v>2000</v>
      </c>
      <c r="C31" s="164">
        <f t="shared" si="5"/>
        <v>66219.721791704942</v>
      </c>
      <c r="D31" s="148"/>
      <c r="E31" s="162">
        <f t="shared" si="0"/>
        <v>68128.008624437396</v>
      </c>
      <c r="F31" s="143">
        <f t="shared" si="1"/>
        <v>34064.004312218698</v>
      </c>
      <c r="G31" s="143">
        <f t="shared" si="2"/>
        <v>7817.6889896541916</v>
      </c>
      <c r="H31" s="148">
        <f t="shared" si="3"/>
        <v>110009.7019263103</v>
      </c>
      <c r="J31" s="26">
        <v>27</v>
      </c>
      <c r="K31" s="32">
        <f t="shared" si="6"/>
        <v>2.8817499999999933E-2</v>
      </c>
      <c r="M31" s="26">
        <v>27</v>
      </c>
      <c r="N31" s="32">
        <f t="shared" si="7"/>
        <v>8.24999999999999E-3</v>
      </c>
    </row>
    <row r="32" spans="1:14" x14ac:dyDescent="0.3">
      <c r="A32" s="158">
        <v>28</v>
      </c>
      <c r="B32" s="158">
        <f t="shared" si="4"/>
        <v>1999</v>
      </c>
      <c r="C32" s="164">
        <f t="shared" si="5"/>
        <v>66741.202100814611</v>
      </c>
      <c r="D32" s="148"/>
      <c r="E32" s="162">
        <f t="shared" si="0"/>
        <v>68634.650004414711</v>
      </c>
      <c r="F32" s="143">
        <f t="shared" si="1"/>
        <v>34317.325002207355</v>
      </c>
      <c r="G32" s="143">
        <f t="shared" si="2"/>
        <v>7875.8260880065873</v>
      </c>
      <c r="H32" s="148">
        <f t="shared" si="3"/>
        <v>110827.80109462865</v>
      </c>
      <c r="J32" s="26">
        <v>28</v>
      </c>
      <c r="K32" s="32">
        <f t="shared" si="6"/>
        <v>2.8369999999999933E-2</v>
      </c>
      <c r="M32" s="26">
        <v>28</v>
      </c>
      <c r="N32" s="32">
        <f t="shared" si="7"/>
        <v>7.8749999999999896E-3</v>
      </c>
    </row>
    <row r="33" spans="1:14" x14ac:dyDescent="0.3">
      <c r="A33" s="158">
        <v>29</v>
      </c>
      <c r="B33" s="158">
        <f t="shared" si="4"/>
        <v>1998</v>
      </c>
      <c r="C33" s="164">
        <f t="shared" si="5"/>
        <v>67241.76111657072</v>
      </c>
      <c r="D33" s="148"/>
      <c r="E33" s="162">
        <f t="shared" si="0"/>
        <v>69119.319191348157</v>
      </c>
      <c r="F33" s="143">
        <f t="shared" si="1"/>
        <v>34559.659595674078</v>
      </c>
      <c r="G33" s="143">
        <f t="shared" si="2"/>
        <v>7931.4418772072013</v>
      </c>
      <c r="H33" s="148">
        <f t="shared" si="3"/>
        <v>111610.42066422943</v>
      </c>
      <c r="J33" s="26">
        <v>29</v>
      </c>
      <c r="K33" s="32">
        <f t="shared" si="6"/>
        <v>2.7922499999999933E-2</v>
      </c>
      <c r="M33" s="26">
        <v>29</v>
      </c>
      <c r="N33" s="32">
        <f t="shared" si="7"/>
        <v>7.4999999999999893E-3</v>
      </c>
    </row>
    <row r="34" spans="1:14" s="150" customFormat="1" x14ac:dyDescent="0.3">
      <c r="A34" s="165">
        <v>30</v>
      </c>
      <c r="B34" s="165">
        <f t="shared" si="4"/>
        <v>1997</v>
      </c>
      <c r="C34" s="166">
        <f t="shared" si="5"/>
        <v>67720.858664526284</v>
      </c>
      <c r="D34" s="154"/>
      <c r="E34" s="169">
        <f t="shared" si="0"/>
        <v>69581.489256334142</v>
      </c>
      <c r="F34" s="151">
        <f t="shared" si="1"/>
        <v>34790.744628167071</v>
      </c>
      <c r="G34" s="151">
        <f t="shared" si="2"/>
        <v>7984.4758921643424</v>
      </c>
      <c r="H34" s="154">
        <f t="shared" si="3"/>
        <v>112356.70977666555</v>
      </c>
      <c r="J34" s="150">
        <v>30</v>
      </c>
      <c r="K34" s="157">
        <f t="shared" si="6"/>
        <v>2.7474999999999934E-2</v>
      </c>
      <c r="M34" s="150">
        <v>30</v>
      </c>
      <c r="N34" s="157">
        <f t="shared" si="7"/>
        <v>7.124999999999989E-3</v>
      </c>
    </row>
    <row r="35" spans="1:14" x14ac:dyDescent="0.3">
      <c r="A35" s="158">
        <v>31</v>
      </c>
      <c r="B35" s="168">
        <f t="shared" si="4"/>
        <v>1996</v>
      </c>
      <c r="C35" s="164">
        <f t="shared" si="5"/>
        <v>68177.974460511832</v>
      </c>
      <c r="D35" s="148"/>
      <c r="E35" s="162">
        <f t="shared" si="0"/>
        <v>70020.654665243317</v>
      </c>
      <c r="F35" s="143">
        <f t="shared" si="1"/>
        <v>35010.327332621659</v>
      </c>
      <c r="G35" s="143">
        <f t="shared" si="2"/>
        <v>8034.8701228366708</v>
      </c>
      <c r="H35" s="148">
        <f t="shared" si="3"/>
        <v>113065.85212070165</v>
      </c>
      <c r="J35" s="26">
        <v>31</v>
      </c>
      <c r="K35" s="32">
        <f t="shared" si="6"/>
        <v>2.7027499999999934E-2</v>
      </c>
      <c r="M35" s="26">
        <v>31</v>
      </c>
      <c r="N35" s="32">
        <f t="shared" si="7"/>
        <v>6.7499999999999886E-3</v>
      </c>
    </row>
    <row r="36" spans="1:14" x14ac:dyDescent="0.3">
      <c r="A36" s="158">
        <v>32</v>
      </c>
      <c r="B36" s="158">
        <f t="shared" si="4"/>
        <v>1995</v>
      </c>
      <c r="C36" s="164">
        <f t="shared" si="5"/>
        <v>68612.609047697595</v>
      </c>
      <c r="D36" s="148"/>
      <c r="E36" s="162">
        <f t="shared" si="0"/>
        <v>70436.332196185394</v>
      </c>
      <c r="F36" s="143">
        <f t="shared" si="1"/>
        <v>35218.166098092697</v>
      </c>
      <c r="G36" s="143">
        <f t="shared" si="2"/>
        <v>8082.5691195122736</v>
      </c>
      <c r="H36" s="148">
        <f t="shared" si="3"/>
        <v>113737.06741379037</v>
      </c>
      <c r="J36" s="26">
        <v>32</v>
      </c>
      <c r="K36" s="32">
        <f t="shared" si="6"/>
        <v>2.6579999999999934E-2</v>
      </c>
      <c r="M36" s="26">
        <v>32</v>
      </c>
      <c r="N36" s="32">
        <f t="shared" si="7"/>
        <v>6.3749999999999883E-3</v>
      </c>
    </row>
    <row r="37" spans="1:14" x14ac:dyDescent="0.3">
      <c r="A37" s="158">
        <v>33</v>
      </c>
      <c r="B37" s="158">
        <f t="shared" si="4"/>
        <v>1994</v>
      </c>
      <c r="C37" s="164">
        <f t="shared" si="5"/>
        <v>69024.284701983779</v>
      </c>
      <c r="D37" s="148"/>
      <c r="E37" s="162">
        <f t="shared" si="0"/>
        <v>70828.06182195837</v>
      </c>
      <c r="F37" s="143">
        <f t="shared" si="1"/>
        <v>35414.030910979185</v>
      </c>
      <c r="G37" s="143">
        <f t="shared" si="2"/>
        <v>8127.5200940697232</v>
      </c>
      <c r="H37" s="148">
        <f t="shared" si="3"/>
        <v>114369.61282700728</v>
      </c>
      <c r="J37" s="26">
        <v>33</v>
      </c>
      <c r="K37" s="32">
        <f t="shared" si="6"/>
        <v>2.6132499999999934E-2</v>
      </c>
      <c r="M37" s="26">
        <v>33</v>
      </c>
      <c r="N37" s="32">
        <f t="shared" si="7"/>
        <v>5.999999999999988E-3</v>
      </c>
    </row>
    <row r="38" spans="1:14" x14ac:dyDescent="0.3">
      <c r="A38" s="158">
        <v>34</v>
      </c>
      <c r="B38" s="158">
        <f t="shared" si="4"/>
        <v>1993</v>
      </c>
      <c r="C38" s="164">
        <f t="shared" si="5"/>
        <v>69412.546303432435</v>
      </c>
      <c r="D38" s="148"/>
      <c r="E38" s="162">
        <f t="shared" si="0"/>
        <v>71195.407555236088</v>
      </c>
      <c r="F38" s="143">
        <f t="shared" si="1"/>
        <v>35597.703777618044</v>
      </c>
      <c r="G38" s="143">
        <f t="shared" si="2"/>
        <v>8169.673016963342</v>
      </c>
      <c r="H38" s="148">
        <f t="shared" si="3"/>
        <v>114962.78434981748</v>
      </c>
      <c r="J38" s="26">
        <v>34</v>
      </c>
      <c r="K38" s="32">
        <f t="shared" si="6"/>
        <v>2.5684999999999934E-2</v>
      </c>
      <c r="M38" s="26">
        <v>34</v>
      </c>
      <c r="N38" s="32">
        <f t="shared" si="7"/>
        <v>5.6249999999999876E-3</v>
      </c>
    </row>
    <row r="39" spans="1:14" s="150" customFormat="1" x14ac:dyDescent="0.3">
      <c r="A39" s="165">
        <v>35</v>
      </c>
      <c r="B39" s="165">
        <f t="shared" si="4"/>
        <v>1992</v>
      </c>
      <c r="C39" s="166">
        <f t="shared" si="5"/>
        <v>69776.962171525447</v>
      </c>
      <c r="D39" s="154"/>
      <c r="E39" s="169">
        <f t="shared" si="0"/>
        <v>71537.958254329322</v>
      </c>
      <c r="F39" s="151">
        <f t="shared" si="1"/>
        <v>35768.979127164661</v>
      </c>
      <c r="G39" s="151">
        <f t="shared" si="2"/>
        <v>8208.9807096842887</v>
      </c>
      <c r="H39" s="154">
        <f t="shared" si="3"/>
        <v>115515.91809117826</v>
      </c>
      <c r="J39" s="150">
        <v>35</v>
      </c>
      <c r="K39" s="157">
        <f t="shared" si="6"/>
        <v>2.5237499999999934E-2</v>
      </c>
      <c r="M39" s="150">
        <v>35</v>
      </c>
      <c r="N39" s="157">
        <f t="shared" si="7"/>
        <v>5.2499999999999873E-3</v>
      </c>
    </row>
    <row r="40" spans="1:14" x14ac:dyDescent="0.3">
      <c r="A40" s="158">
        <v>36</v>
      </c>
      <c r="B40" s="168">
        <f t="shared" si="4"/>
        <v>1991</v>
      </c>
      <c r="C40" s="164">
        <f t="shared" si="5"/>
        <v>70117.124862111639</v>
      </c>
      <c r="D40" s="148"/>
      <c r="E40" s="162">
        <f t="shared" si="0"/>
        <v>71855.328387443384</v>
      </c>
      <c r="F40" s="143">
        <f t="shared" si="1"/>
        <v>35927.664193721692</v>
      </c>
      <c r="G40" s="143">
        <f t="shared" si="2"/>
        <v>8245.3989324591275</v>
      </c>
      <c r="H40" s="148">
        <f t="shared" si="3"/>
        <v>116028.3915136242</v>
      </c>
      <c r="J40" s="26">
        <v>36</v>
      </c>
      <c r="K40" s="32">
        <f t="shared" si="6"/>
        <v>2.4789999999999934E-2</v>
      </c>
      <c r="M40" s="26">
        <v>36</v>
      </c>
      <c r="N40" s="32">
        <f t="shared" si="7"/>
        <v>4.874999999999987E-3</v>
      </c>
    </row>
    <row r="41" spans="1:14" x14ac:dyDescent="0.3">
      <c r="A41" s="158">
        <v>37</v>
      </c>
      <c r="B41" s="158">
        <f t="shared" si="4"/>
        <v>1990</v>
      </c>
      <c r="C41" s="164">
        <f t="shared" si="5"/>
        <v>70432.651923991143</v>
      </c>
      <c r="D41" s="148"/>
      <c r="E41" s="162">
        <f t="shared" si="0"/>
        <v>72147.158753450887</v>
      </c>
      <c r="F41" s="143">
        <f t="shared" si="1"/>
        <v>36073.579376725444</v>
      </c>
      <c r="G41" s="143">
        <f t="shared" si="2"/>
        <v>8278.8864669584891</v>
      </c>
      <c r="H41" s="148">
        <f t="shared" si="3"/>
        <v>116499.62459713481</v>
      </c>
      <c r="J41" s="26">
        <v>37</v>
      </c>
      <c r="K41" s="32">
        <f t="shared" si="6"/>
        <v>2.4342499999999934E-2</v>
      </c>
      <c r="M41" s="26">
        <v>37</v>
      </c>
      <c r="N41" s="32">
        <f t="shared" si="7"/>
        <v>4.4999999999999866E-3</v>
      </c>
    </row>
    <row r="42" spans="1:14" x14ac:dyDescent="0.3">
      <c r="A42" s="158">
        <v>38</v>
      </c>
      <c r="B42" s="158">
        <f t="shared" si="4"/>
        <v>1989</v>
      </c>
      <c r="C42" s="164">
        <f t="shared" si="5"/>
        <v>70723.186613177604</v>
      </c>
      <c r="D42" s="148"/>
      <c r="E42" s="162">
        <f t="shared" si="0"/>
        <v>72413.117157299479</v>
      </c>
      <c r="F42" s="143">
        <f t="shared" si="1"/>
        <v>36206.55857864974</v>
      </c>
      <c r="G42" s="143">
        <f t="shared" si="2"/>
        <v>8309.4051938001157</v>
      </c>
      <c r="H42" s="148">
        <f t="shared" si="3"/>
        <v>116929.08092974934</v>
      </c>
      <c r="J42" s="26">
        <v>38</v>
      </c>
      <c r="K42" s="32">
        <f t="shared" si="6"/>
        <v>2.3894999999999934E-2</v>
      </c>
      <c r="M42" s="26">
        <v>38</v>
      </c>
      <c r="N42" s="32">
        <f t="shared" si="7"/>
        <v>4.1249999999999863E-3</v>
      </c>
    </row>
    <row r="43" spans="1:14" x14ac:dyDescent="0.3">
      <c r="A43" s="158">
        <v>39</v>
      </c>
      <c r="B43" s="158">
        <f t="shared" si="4"/>
        <v>1988</v>
      </c>
      <c r="C43" s="164">
        <f t="shared" si="5"/>
        <v>70988.398562977018</v>
      </c>
      <c r="D43" s="148"/>
      <c r="E43" s="162">
        <f t="shared" si="0"/>
        <v>72652.899038282412</v>
      </c>
      <c r="F43" s="143">
        <f t="shared" si="1"/>
        <v>36326.449519141206</v>
      </c>
      <c r="G43" s="143">
        <f t="shared" si="2"/>
        <v>8336.9201646429065</v>
      </c>
      <c r="H43" s="148">
        <f t="shared" si="3"/>
        <v>117316.26872206654</v>
      </c>
      <c r="J43" s="26">
        <v>39</v>
      </c>
      <c r="K43" s="32">
        <f t="shared" si="6"/>
        <v>2.3447499999999934E-2</v>
      </c>
      <c r="M43" s="26">
        <v>39</v>
      </c>
      <c r="N43" s="32">
        <f t="shared" si="7"/>
        <v>3.7499999999999864E-3</v>
      </c>
    </row>
    <row r="44" spans="1:14" s="150" customFormat="1" x14ac:dyDescent="0.3">
      <c r="A44" s="165">
        <v>40</v>
      </c>
      <c r="B44" s="165">
        <f t="shared" si="4"/>
        <v>1987</v>
      </c>
      <c r="C44" s="166">
        <f t="shared" si="5"/>
        <v>71227.984408127071</v>
      </c>
      <c r="D44" s="154"/>
      <c r="E44" s="169">
        <f t="shared" si="0"/>
        <v>72866.228049513986</v>
      </c>
      <c r="F44" s="151">
        <f t="shared" si="1"/>
        <v>36433.114024756993</v>
      </c>
      <c r="G44" s="151">
        <f t="shared" si="2"/>
        <v>8361.39966868173</v>
      </c>
      <c r="H44" s="154">
        <f t="shared" si="3"/>
        <v>117660.7417429527</v>
      </c>
      <c r="J44" s="150">
        <v>40</v>
      </c>
      <c r="K44" s="157">
        <f t="shared" si="6"/>
        <v>2.2999999999999934E-2</v>
      </c>
      <c r="M44" s="150">
        <v>40</v>
      </c>
      <c r="N44" s="157">
        <f t="shared" si="7"/>
        <v>3.3749999999999865E-3</v>
      </c>
    </row>
    <row r="45" spans="1:14" x14ac:dyDescent="0.3">
      <c r="N45" s="32"/>
    </row>
  </sheetData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44AF-B345-4A45-B1E4-E9F49AB579F8}">
  <dimension ref="A2:R45"/>
  <sheetViews>
    <sheetView zoomScaleNormal="100" workbookViewId="0">
      <selection activeCell="C5" sqref="C5"/>
    </sheetView>
  </sheetViews>
  <sheetFormatPr defaultColWidth="12.1796875" defaultRowHeight="13" x14ac:dyDescent="0.3"/>
  <cols>
    <col min="1" max="1" width="8.81640625" style="158" customWidth="1"/>
    <col min="2" max="2" width="9.1796875" style="158" customWidth="1"/>
    <col min="3" max="3" width="8.54296875" style="170" customWidth="1"/>
    <col min="4" max="4" width="2.90625" style="26" hidden="1" customWidth="1"/>
    <col min="5" max="5" width="11.26953125" style="171" customWidth="1"/>
    <col min="6" max="6" width="9.7265625" style="26" hidden="1" customWidth="1"/>
    <col min="7" max="7" width="10.1796875" style="26" hidden="1" customWidth="1"/>
    <col min="8" max="8" width="13" style="26" hidden="1" customWidth="1"/>
    <col min="9" max="9" width="12.1796875" style="26"/>
    <col min="10" max="10" width="5.54296875" style="26" customWidth="1"/>
    <col min="11" max="11" width="8.7265625" style="26" customWidth="1"/>
    <col min="12" max="12" width="12.453125" style="26" customWidth="1"/>
    <col min="13" max="13" width="5.453125" style="26" customWidth="1"/>
    <col min="14" max="14" width="8.81640625" style="26" customWidth="1"/>
    <col min="15" max="15" width="12.453125" style="26" customWidth="1"/>
    <col min="16" max="16384" width="12.1796875" style="26"/>
  </cols>
  <sheetData>
    <row r="2" spans="1:18" ht="38.5" customHeight="1" x14ac:dyDescent="0.3">
      <c r="B2" s="310" t="s">
        <v>40</v>
      </c>
      <c r="C2" s="310"/>
      <c r="E2" s="174" t="s">
        <v>87</v>
      </c>
      <c r="J2" s="138"/>
      <c r="K2" s="311" t="s">
        <v>84</v>
      </c>
      <c r="L2" s="311"/>
      <c r="M2" s="311"/>
      <c r="N2" s="311"/>
      <c r="O2" s="311"/>
      <c r="P2" s="311"/>
      <c r="Q2" s="138"/>
      <c r="R2" s="138"/>
    </row>
    <row r="3" spans="1:18" s="140" customFormat="1" ht="39" x14ac:dyDescent="0.3">
      <c r="A3" s="140" t="s">
        <v>41</v>
      </c>
      <c r="B3" s="140" t="s">
        <v>42</v>
      </c>
      <c r="C3" s="159" t="s">
        <v>43</v>
      </c>
      <c r="E3" s="173" t="s">
        <v>45</v>
      </c>
      <c r="F3" s="140" t="s">
        <v>78</v>
      </c>
      <c r="G3" s="140" t="s">
        <v>79</v>
      </c>
      <c r="H3" s="140" t="s">
        <v>80</v>
      </c>
      <c r="J3" s="26" t="s">
        <v>47</v>
      </c>
      <c r="K3" s="141" t="s">
        <v>81</v>
      </c>
      <c r="L3" s="26" t="s">
        <v>48</v>
      </c>
      <c r="M3" s="140" t="s">
        <v>47</v>
      </c>
      <c r="N3" s="140" t="s">
        <v>82</v>
      </c>
      <c r="O3" s="140" t="s">
        <v>49</v>
      </c>
    </row>
    <row r="4" spans="1:18" ht="14" x14ac:dyDescent="0.3">
      <c r="A4" s="158" t="s">
        <v>50</v>
      </c>
      <c r="B4" s="160">
        <v>2026</v>
      </c>
      <c r="C4" s="161">
        <v>45437</v>
      </c>
      <c r="D4" s="148"/>
      <c r="E4" s="172">
        <f t="shared" ref="E4:E44" si="0">SUM(C4*K4)+C4</f>
        <v>47295.373299999999</v>
      </c>
      <c r="F4" s="143">
        <f t="shared" ref="F4:F44" si="1">SUM(E4*0.5)</f>
        <v>23647.68665</v>
      </c>
      <c r="G4" s="143">
        <f t="shared" ref="G4:G44" si="2">SUM(E4+F4)*0.0765</f>
        <v>5427.1440861749998</v>
      </c>
      <c r="H4" s="163">
        <f t="shared" ref="H4:H44" si="3">SUM(E4+F4+G4)</f>
        <v>76370.204036174997</v>
      </c>
      <c r="J4" s="26">
        <v>0</v>
      </c>
      <c r="K4" s="32">
        <v>4.0899999999999999E-2</v>
      </c>
      <c r="L4" s="34">
        <f>((0.0409-0.023)/40)</f>
        <v>4.4749999999999998E-4</v>
      </c>
      <c r="M4" s="26">
        <v>0</v>
      </c>
      <c r="N4" s="32"/>
      <c r="O4" s="34"/>
    </row>
    <row r="5" spans="1:18" x14ac:dyDescent="0.3">
      <c r="A5" s="158">
        <v>1</v>
      </c>
      <c r="B5" s="158">
        <f t="shared" ref="B5:B44" si="4">B4-1</f>
        <v>2025</v>
      </c>
      <c r="C5" s="164">
        <f t="shared" ref="C5:C44" si="5">SUM(C4*N5)+C4</f>
        <v>46254.866000000002</v>
      </c>
      <c r="D5" s="148"/>
      <c r="E5" s="162">
        <f t="shared" si="0"/>
        <v>48125.990966865</v>
      </c>
      <c r="F5" s="143">
        <f t="shared" si="1"/>
        <v>24062.9954834325</v>
      </c>
      <c r="G5" s="143">
        <f t="shared" si="2"/>
        <v>5522.4574634477585</v>
      </c>
      <c r="H5" s="148">
        <f t="shared" si="3"/>
        <v>77711.443913745257</v>
      </c>
      <c r="J5" s="26">
        <v>1</v>
      </c>
      <c r="K5" s="32">
        <f t="shared" ref="K5:K44" si="6">K4-$L$4</f>
        <v>4.0452500000000002E-2</v>
      </c>
      <c r="L5" s="149"/>
      <c r="M5" s="26">
        <v>1</v>
      </c>
      <c r="N5" s="32">
        <v>1.7999999999999999E-2</v>
      </c>
      <c r="O5" s="34">
        <f>((0.02-0.005)/40)</f>
        <v>3.7500000000000001E-4</v>
      </c>
    </row>
    <row r="6" spans="1:18" x14ac:dyDescent="0.3">
      <c r="A6" s="158">
        <v>2</v>
      </c>
      <c r="B6" s="158">
        <f t="shared" si="4"/>
        <v>2024</v>
      </c>
      <c r="C6" s="164">
        <f t="shared" si="5"/>
        <v>47070.108013249999</v>
      </c>
      <c r="D6" s="148"/>
      <c r="E6" s="162">
        <f t="shared" si="0"/>
        <v>48953.147684320065</v>
      </c>
      <c r="F6" s="143">
        <f t="shared" si="1"/>
        <v>24476.573842160033</v>
      </c>
      <c r="G6" s="143">
        <f t="shared" si="2"/>
        <v>5617.3736967757277</v>
      </c>
      <c r="H6" s="148">
        <f t="shared" si="3"/>
        <v>79047.095223255834</v>
      </c>
      <c r="J6" s="26">
        <v>2</v>
      </c>
      <c r="K6" s="32">
        <f t="shared" si="6"/>
        <v>4.0004999999999999E-2</v>
      </c>
      <c r="M6" s="26">
        <v>2</v>
      </c>
      <c r="N6" s="32">
        <f t="shared" ref="N6:N44" si="7">N5-$O$5</f>
        <v>1.7624999999999998E-2</v>
      </c>
    </row>
    <row r="7" spans="1:18" x14ac:dyDescent="0.3">
      <c r="A7" s="158">
        <v>3</v>
      </c>
      <c r="B7" s="158">
        <f t="shared" si="4"/>
        <v>2023</v>
      </c>
      <c r="C7" s="164">
        <f t="shared" si="5"/>
        <v>47882.067376478561</v>
      </c>
      <c r="D7" s="148"/>
      <c r="E7" s="162">
        <f t="shared" si="0"/>
        <v>49776.162256723612</v>
      </c>
      <c r="F7" s="143">
        <f t="shared" si="1"/>
        <v>24888.081128361806</v>
      </c>
      <c r="G7" s="143">
        <f t="shared" si="2"/>
        <v>5711.8146189590343</v>
      </c>
      <c r="H7" s="148">
        <f t="shared" si="3"/>
        <v>80376.058004044447</v>
      </c>
      <c r="J7" s="26">
        <v>3</v>
      </c>
      <c r="K7" s="32">
        <f t="shared" si="6"/>
        <v>3.9557499999999995E-2</v>
      </c>
      <c r="M7" s="26">
        <v>3</v>
      </c>
      <c r="N7" s="32">
        <f t="shared" si="7"/>
        <v>1.7249999999999998E-2</v>
      </c>
    </row>
    <row r="8" spans="1:18" x14ac:dyDescent="0.3">
      <c r="A8" s="158">
        <v>4</v>
      </c>
      <c r="B8" s="158">
        <f t="shared" si="4"/>
        <v>2022</v>
      </c>
      <c r="C8" s="164">
        <f t="shared" si="5"/>
        <v>48690.077263456638</v>
      </c>
      <c r="D8" s="148"/>
      <c r="E8" s="162">
        <f t="shared" si="0"/>
        <v>50594.346185230424</v>
      </c>
      <c r="F8" s="143">
        <f t="shared" si="1"/>
        <v>25297.173092615212</v>
      </c>
      <c r="G8" s="143">
        <f t="shared" si="2"/>
        <v>5805.7012247551911</v>
      </c>
      <c r="H8" s="148">
        <f t="shared" si="3"/>
        <v>81697.220502600831</v>
      </c>
      <c r="J8" s="26">
        <v>4</v>
      </c>
      <c r="K8" s="32">
        <f t="shared" si="6"/>
        <v>3.9109999999999992E-2</v>
      </c>
      <c r="M8" s="26">
        <v>4</v>
      </c>
      <c r="N8" s="32">
        <f t="shared" si="7"/>
        <v>1.6874999999999998E-2</v>
      </c>
    </row>
    <row r="9" spans="1:18" s="155" customFormat="1" x14ac:dyDescent="0.3">
      <c r="A9" s="165">
        <v>5</v>
      </c>
      <c r="B9" s="165">
        <f t="shared" si="4"/>
        <v>2021</v>
      </c>
      <c r="C9" s="166">
        <f t="shared" si="5"/>
        <v>49493.463538303673</v>
      </c>
      <c r="D9" s="154"/>
      <c r="E9" s="167">
        <f t="shared" si="0"/>
        <v>51407.00457235334</v>
      </c>
      <c r="F9" s="151">
        <f t="shared" si="1"/>
        <v>25703.50228617667</v>
      </c>
      <c r="G9" s="153">
        <f t="shared" si="2"/>
        <v>5898.9537746775459</v>
      </c>
      <c r="H9" s="154">
        <f t="shared" si="3"/>
        <v>83009.460633207564</v>
      </c>
      <c r="J9" s="155">
        <v>5</v>
      </c>
      <c r="K9" s="156">
        <f t="shared" si="6"/>
        <v>3.8662499999999989E-2</v>
      </c>
      <c r="M9" s="155">
        <v>5</v>
      </c>
      <c r="N9" s="156">
        <f t="shared" si="7"/>
        <v>1.6499999999999997E-2</v>
      </c>
      <c r="P9" s="155">
        <f>C9/C4</f>
        <v>1.089276658632913</v>
      </c>
    </row>
    <row r="10" spans="1:18" x14ac:dyDescent="0.3">
      <c r="A10" s="158">
        <v>6</v>
      </c>
      <c r="B10" s="168">
        <f t="shared" si="4"/>
        <v>2020</v>
      </c>
      <c r="C10" s="164">
        <f t="shared" si="5"/>
        <v>50291.545637858821</v>
      </c>
      <c r="D10" s="148"/>
      <c r="E10" s="162">
        <f t="shared" si="0"/>
        <v>52213.437054409595</v>
      </c>
      <c r="F10" s="143">
        <f t="shared" si="1"/>
        <v>26106.718527204797</v>
      </c>
      <c r="G10" s="143">
        <f t="shared" si="2"/>
        <v>5991.4919019935014</v>
      </c>
      <c r="H10" s="148">
        <f t="shared" si="3"/>
        <v>84311.6474836079</v>
      </c>
      <c r="J10" s="26">
        <v>6</v>
      </c>
      <c r="K10" s="32">
        <f t="shared" si="6"/>
        <v>3.8214999999999985E-2</v>
      </c>
      <c r="M10" s="26">
        <v>6</v>
      </c>
      <c r="N10" s="32">
        <f t="shared" si="7"/>
        <v>1.6124999999999997E-2</v>
      </c>
    </row>
    <row r="11" spans="1:18" x14ac:dyDescent="0.3">
      <c r="A11" s="158">
        <v>7</v>
      </c>
      <c r="B11" s="158">
        <f t="shared" si="4"/>
        <v>2019</v>
      </c>
      <c r="C11" s="164">
        <f t="shared" si="5"/>
        <v>51083.637481655096</v>
      </c>
      <c r="D11" s="148"/>
      <c r="E11" s="162">
        <f t="shared" si="0"/>
        <v>53012.938760243502</v>
      </c>
      <c r="F11" s="143">
        <f t="shared" si="1"/>
        <v>26506.469380121751</v>
      </c>
      <c r="G11" s="143">
        <f t="shared" si="2"/>
        <v>6083.2347227379414</v>
      </c>
      <c r="H11" s="148">
        <f t="shared" si="3"/>
        <v>85602.642863103189</v>
      </c>
      <c r="J11" s="26">
        <v>7</v>
      </c>
      <c r="K11" s="32">
        <f t="shared" si="6"/>
        <v>3.7767499999999982E-2</v>
      </c>
      <c r="M11" s="26">
        <v>7</v>
      </c>
      <c r="N11" s="32">
        <f t="shared" si="7"/>
        <v>1.5749999999999997E-2</v>
      </c>
    </row>
    <row r="12" spans="1:18" x14ac:dyDescent="0.3">
      <c r="A12" s="158">
        <v>8</v>
      </c>
      <c r="B12" s="158">
        <f t="shared" si="4"/>
        <v>2018</v>
      </c>
      <c r="C12" s="164">
        <f t="shared" si="5"/>
        <v>51869.048407935545</v>
      </c>
      <c r="D12" s="148"/>
      <c r="E12" s="162">
        <f t="shared" si="0"/>
        <v>53804.801294519697</v>
      </c>
      <c r="F12" s="143">
        <f t="shared" si="1"/>
        <v>26902.400647259848</v>
      </c>
      <c r="G12" s="143">
        <f t="shared" si="2"/>
        <v>6174.1009485461354</v>
      </c>
      <c r="H12" s="148">
        <f t="shared" si="3"/>
        <v>86881.302890325693</v>
      </c>
      <c r="J12" s="26">
        <v>8</v>
      </c>
      <c r="K12" s="32">
        <f t="shared" si="6"/>
        <v>3.7319999999999978E-2</v>
      </c>
      <c r="M12" s="26">
        <v>8</v>
      </c>
      <c r="N12" s="32">
        <f t="shared" si="7"/>
        <v>1.5374999999999996E-2</v>
      </c>
    </row>
    <row r="13" spans="1:18" x14ac:dyDescent="0.3">
      <c r="A13" s="158">
        <v>9</v>
      </c>
      <c r="B13" s="158">
        <f t="shared" si="4"/>
        <v>2017</v>
      </c>
      <c r="C13" s="164">
        <f t="shared" si="5"/>
        <v>52647.084134054574</v>
      </c>
      <c r="D13" s="148"/>
      <c r="E13" s="162">
        <f t="shared" si="0"/>
        <v>54588.313743787498</v>
      </c>
      <c r="F13" s="143">
        <f t="shared" si="1"/>
        <v>27294.156871893749</v>
      </c>
      <c r="G13" s="143">
        <f t="shared" si="2"/>
        <v>6264.0090020996149</v>
      </c>
      <c r="H13" s="148">
        <f t="shared" si="3"/>
        <v>88146.47961778086</v>
      </c>
      <c r="J13" s="26">
        <v>9</v>
      </c>
      <c r="K13" s="32">
        <f t="shared" si="6"/>
        <v>3.6872499999999975E-2</v>
      </c>
      <c r="M13" s="26">
        <v>9</v>
      </c>
      <c r="N13" s="32">
        <f t="shared" si="7"/>
        <v>1.4999999999999996E-2</v>
      </c>
    </row>
    <row r="14" spans="1:18" s="150" customFormat="1" x14ac:dyDescent="0.3">
      <c r="A14" s="165">
        <v>10</v>
      </c>
      <c r="B14" s="165">
        <f t="shared" si="4"/>
        <v>2016</v>
      </c>
      <c r="C14" s="166">
        <f t="shared" si="5"/>
        <v>53417.047739515125</v>
      </c>
      <c r="D14" s="154"/>
      <c r="E14" s="169">
        <f t="shared" si="0"/>
        <v>55362.763703426965</v>
      </c>
      <c r="F14" s="151">
        <f t="shared" si="1"/>
        <v>27681.381851713482</v>
      </c>
      <c r="G14" s="151">
        <f t="shared" si="2"/>
        <v>6352.8771349682447</v>
      </c>
      <c r="H14" s="154">
        <f t="shared" si="3"/>
        <v>89397.022690108701</v>
      </c>
      <c r="J14" s="150">
        <v>10</v>
      </c>
      <c r="K14" s="157">
        <f t="shared" si="6"/>
        <v>3.6424999999999971E-2</v>
      </c>
      <c r="M14" s="150">
        <v>10</v>
      </c>
      <c r="N14" s="157">
        <f t="shared" si="7"/>
        <v>1.4624999999999996E-2</v>
      </c>
    </row>
    <row r="15" spans="1:18" x14ac:dyDescent="0.3">
      <c r="A15" s="158">
        <v>11</v>
      </c>
      <c r="B15" s="168">
        <f t="shared" si="4"/>
        <v>2015</v>
      </c>
      <c r="C15" s="164">
        <f t="shared" si="5"/>
        <v>54178.240669803214</v>
      </c>
      <c r="D15" s="148"/>
      <c r="E15" s="162">
        <f t="shared" si="0"/>
        <v>56127.438323501054</v>
      </c>
      <c r="F15" s="143">
        <f t="shared" si="1"/>
        <v>28063.719161750527</v>
      </c>
      <c r="G15" s="143">
        <f t="shared" si="2"/>
        <v>6440.6235476217453</v>
      </c>
      <c r="H15" s="148">
        <f t="shared" si="3"/>
        <v>90631.781032873318</v>
      </c>
      <c r="J15" s="26">
        <v>11</v>
      </c>
      <c r="K15" s="32">
        <f t="shared" si="6"/>
        <v>3.5977499999999968E-2</v>
      </c>
      <c r="M15" s="26">
        <v>11</v>
      </c>
      <c r="N15" s="32">
        <f t="shared" si="7"/>
        <v>1.4249999999999995E-2</v>
      </c>
    </row>
    <row r="16" spans="1:18" x14ac:dyDescent="0.3">
      <c r="A16" s="158">
        <v>12</v>
      </c>
      <c r="B16" s="158">
        <f t="shared" si="4"/>
        <v>2014</v>
      </c>
      <c r="C16" s="164">
        <f t="shared" si="5"/>
        <v>54929.963759096732</v>
      </c>
      <c r="D16" s="148"/>
      <c r="E16" s="162">
        <f t="shared" si="0"/>
        <v>56881.625371457434</v>
      </c>
      <c r="F16" s="143">
        <f t="shared" si="1"/>
        <v>28440.812685728717</v>
      </c>
      <c r="G16" s="143">
        <f t="shared" si="2"/>
        <v>6527.1665113747404</v>
      </c>
      <c r="H16" s="148">
        <f t="shared" si="3"/>
        <v>91849.604568560899</v>
      </c>
      <c r="J16" s="26">
        <v>12</v>
      </c>
      <c r="K16" s="32">
        <f t="shared" si="6"/>
        <v>3.5529999999999964E-2</v>
      </c>
      <c r="M16" s="26">
        <v>12</v>
      </c>
      <c r="N16" s="32">
        <f t="shared" si="7"/>
        <v>1.3874999999999995E-2</v>
      </c>
    </row>
    <row r="17" spans="1:14" x14ac:dyDescent="0.3">
      <c r="A17" s="158">
        <v>13</v>
      </c>
      <c r="B17" s="158">
        <f t="shared" si="4"/>
        <v>2013</v>
      </c>
      <c r="C17" s="164">
        <f t="shared" si="5"/>
        <v>55671.518269844535</v>
      </c>
      <c r="D17" s="148"/>
      <c r="E17" s="162">
        <f t="shared" si="0"/>
        <v>57624.614309546356</v>
      </c>
      <c r="F17" s="143">
        <f t="shared" si="1"/>
        <v>28812.307154773178</v>
      </c>
      <c r="G17" s="143">
        <f t="shared" si="2"/>
        <v>6612.4244920204437</v>
      </c>
      <c r="H17" s="148">
        <f t="shared" si="3"/>
        <v>93049.345956339967</v>
      </c>
      <c r="J17" s="26">
        <v>13</v>
      </c>
      <c r="K17" s="32">
        <f t="shared" si="6"/>
        <v>3.5082499999999961E-2</v>
      </c>
      <c r="M17" s="26">
        <v>13</v>
      </c>
      <c r="N17" s="32">
        <f t="shared" si="7"/>
        <v>1.3499999999999995E-2</v>
      </c>
    </row>
    <row r="18" spans="1:14" x14ac:dyDescent="0.3">
      <c r="A18" s="158">
        <v>14</v>
      </c>
      <c r="B18" s="158">
        <f t="shared" si="4"/>
        <v>2012</v>
      </c>
      <c r="C18" s="164">
        <f t="shared" si="5"/>
        <v>56402.206947136241</v>
      </c>
      <c r="D18" s="148"/>
      <c r="E18" s="162">
        <f t="shared" si="0"/>
        <v>58355.697384750303</v>
      </c>
      <c r="F18" s="143">
        <f t="shared" si="1"/>
        <v>29177.848692375152</v>
      </c>
      <c r="G18" s="143">
        <f t="shared" si="2"/>
        <v>6696.3162749000976</v>
      </c>
      <c r="H18" s="148">
        <f t="shared" si="3"/>
        <v>94229.86235202555</v>
      </c>
      <c r="J18" s="26">
        <v>14</v>
      </c>
      <c r="K18" s="32">
        <f t="shared" si="6"/>
        <v>3.4634999999999957E-2</v>
      </c>
      <c r="M18" s="26">
        <v>14</v>
      </c>
      <c r="N18" s="32">
        <f t="shared" si="7"/>
        <v>1.3124999999999994E-2</v>
      </c>
    </row>
    <row r="19" spans="1:14" s="150" customFormat="1" x14ac:dyDescent="0.3">
      <c r="A19" s="165">
        <v>15</v>
      </c>
      <c r="B19" s="165">
        <f t="shared" si="4"/>
        <v>2011</v>
      </c>
      <c r="C19" s="166">
        <f t="shared" si="5"/>
        <v>57121.335085712228</v>
      </c>
      <c r="D19" s="154"/>
      <c r="E19" s="169">
        <f t="shared" si="0"/>
        <v>59074.17072895501</v>
      </c>
      <c r="F19" s="151">
        <f t="shared" si="1"/>
        <v>29537.085364477505</v>
      </c>
      <c r="G19" s="151">
        <f t="shared" si="2"/>
        <v>6778.7610911475876</v>
      </c>
      <c r="H19" s="154">
        <f t="shared" si="3"/>
        <v>95390.017184580109</v>
      </c>
      <c r="J19" s="150">
        <v>15</v>
      </c>
      <c r="K19" s="157">
        <f t="shared" si="6"/>
        <v>3.4187499999999954E-2</v>
      </c>
      <c r="M19" s="150">
        <v>15</v>
      </c>
      <c r="N19" s="157">
        <f t="shared" si="7"/>
        <v>1.2749999999999994E-2</v>
      </c>
    </row>
    <row r="20" spans="1:14" x14ac:dyDescent="0.3">
      <c r="A20" s="158">
        <v>16</v>
      </c>
      <c r="B20" s="168">
        <f t="shared" si="4"/>
        <v>2010</v>
      </c>
      <c r="C20" s="164">
        <f t="shared" si="5"/>
        <v>57828.21160739792</v>
      </c>
      <c r="D20" s="148"/>
      <c r="E20" s="162">
        <f t="shared" si="0"/>
        <v>59779.335467031524</v>
      </c>
      <c r="F20" s="143">
        <f t="shared" si="1"/>
        <v>29889.667733515762</v>
      </c>
      <c r="G20" s="143">
        <f t="shared" si="2"/>
        <v>6859.6787448418672</v>
      </c>
      <c r="H20" s="148">
        <f t="shared" si="3"/>
        <v>96528.681945389151</v>
      </c>
      <c r="J20" s="26">
        <v>16</v>
      </c>
      <c r="K20" s="32">
        <f t="shared" si="6"/>
        <v>3.3739999999999951E-2</v>
      </c>
      <c r="M20" s="26">
        <v>16</v>
      </c>
      <c r="N20" s="32">
        <f t="shared" si="7"/>
        <v>1.2374999999999994E-2</v>
      </c>
    </row>
    <row r="21" spans="1:14" x14ac:dyDescent="0.3">
      <c r="A21" s="158">
        <v>17</v>
      </c>
      <c r="B21" s="158">
        <f t="shared" si="4"/>
        <v>2009</v>
      </c>
      <c r="C21" s="164">
        <f t="shared" si="5"/>
        <v>58522.150146686698</v>
      </c>
      <c r="D21" s="148"/>
      <c r="E21" s="162">
        <f t="shared" si="0"/>
        <v>60470.498830445264</v>
      </c>
      <c r="F21" s="143">
        <f t="shared" si="1"/>
        <v>30235.249415222632</v>
      </c>
      <c r="G21" s="143">
        <f t="shared" si="2"/>
        <v>6938.9897407935941</v>
      </c>
      <c r="H21" s="148">
        <f t="shared" si="3"/>
        <v>97644.737986461492</v>
      </c>
      <c r="J21" s="26">
        <v>17</v>
      </c>
      <c r="K21" s="32">
        <f t="shared" si="6"/>
        <v>3.3292499999999947E-2</v>
      </c>
      <c r="M21" s="26">
        <v>17</v>
      </c>
      <c r="N21" s="32">
        <f t="shared" si="7"/>
        <v>1.1999999999999993E-2</v>
      </c>
    </row>
    <row r="22" spans="1:14" x14ac:dyDescent="0.3">
      <c r="A22" s="158">
        <v>18</v>
      </c>
      <c r="B22" s="158">
        <f t="shared" si="4"/>
        <v>2008</v>
      </c>
      <c r="C22" s="164">
        <f t="shared" si="5"/>
        <v>59202.47014214193</v>
      </c>
      <c r="D22" s="148"/>
      <c r="E22" s="162">
        <f t="shared" si="0"/>
        <v>61146.975273960576</v>
      </c>
      <c r="F22" s="143">
        <f t="shared" si="1"/>
        <v>30573.487636980288</v>
      </c>
      <c r="G22" s="143">
        <f t="shared" si="2"/>
        <v>7016.6154126869769</v>
      </c>
      <c r="H22" s="148">
        <f t="shared" si="3"/>
        <v>98737.078323627851</v>
      </c>
      <c r="J22" s="26">
        <v>18</v>
      </c>
      <c r="K22" s="32">
        <f t="shared" si="6"/>
        <v>3.2844999999999944E-2</v>
      </c>
      <c r="M22" s="26">
        <v>18</v>
      </c>
      <c r="N22" s="32">
        <f t="shared" si="7"/>
        <v>1.1624999999999993E-2</v>
      </c>
    </row>
    <row r="23" spans="1:14" x14ac:dyDescent="0.3">
      <c r="A23" s="158">
        <v>19</v>
      </c>
      <c r="B23" s="158">
        <f t="shared" si="4"/>
        <v>2007</v>
      </c>
      <c r="C23" s="164">
        <f t="shared" si="5"/>
        <v>59868.497931241029</v>
      </c>
      <c r="D23" s="148"/>
      <c r="E23" s="162">
        <f t="shared" si="0"/>
        <v>61808.087592968404</v>
      </c>
      <c r="F23" s="143">
        <f t="shared" si="1"/>
        <v>30904.043796484202</v>
      </c>
      <c r="G23" s="143">
        <f t="shared" si="2"/>
        <v>7092.4780512931247</v>
      </c>
      <c r="H23" s="148">
        <f t="shared" si="3"/>
        <v>99804.609440745728</v>
      </c>
      <c r="J23" s="26">
        <v>19</v>
      </c>
      <c r="K23" s="32">
        <f t="shared" si="6"/>
        <v>3.239749999999994E-2</v>
      </c>
      <c r="M23" s="26">
        <v>19</v>
      </c>
      <c r="N23" s="32">
        <f t="shared" si="7"/>
        <v>1.1249999999999993E-2</v>
      </c>
    </row>
    <row r="24" spans="1:14" s="150" customFormat="1" x14ac:dyDescent="0.3">
      <c r="A24" s="165">
        <v>20</v>
      </c>
      <c r="B24" s="165">
        <f t="shared" si="4"/>
        <v>2006</v>
      </c>
      <c r="C24" s="166">
        <f t="shared" si="5"/>
        <v>60519.567846243277</v>
      </c>
      <c r="D24" s="154"/>
      <c r="E24" s="169">
        <f t="shared" si="0"/>
        <v>62453.168038930744</v>
      </c>
      <c r="F24" s="151">
        <f t="shared" si="1"/>
        <v>31226.584019465372</v>
      </c>
      <c r="G24" s="151">
        <f t="shared" si="2"/>
        <v>7166.501032467303</v>
      </c>
      <c r="H24" s="154">
        <f t="shared" si="3"/>
        <v>100846.25309086342</v>
      </c>
      <c r="J24" s="150">
        <v>20</v>
      </c>
      <c r="K24" s="157">
        <f t="shared" si="6"/>
        <v>3.1949999999999937E-2</v>
      </c>
      <c r="M24" s="150">
        <v>20</v>
      </c>
      <c r="N24" s="157">
        <f t="shared" si="7"/>
        <v>1.0874999999999992E-2</v>
      </c>
    </row>
    <row r="25" spans="1:14" x14ac:dyDescent="0.3">
      <c r="A25" s="158">
        <v>21</v>
      </c>
      <c r="B25" s="168">
        <f t="shared" si="4"/>
        <v>2005</v>
      </c>
      <c r="C25" s="164">
        <f t="shared" si="5"/>
        <v>61155.023308628828</v>
      </c>
      <c r="D25" s="148"/>
      <c r="E25" s="162">
        <f t="shared" si="0"/>
        <v>63081.559430408903</v>
      </c>
      <c r="F25" s="143">
        <f t="shared" si="1"/>
        <v>31540.779715204451</v>
      </c>
      <c r="G25" s="143">
        <f t="shared" si="2"/>
        <v>7238.6089446394217</v>
      </c>
      <c r="H25" s="148">
        <f t="shared" si="3"/>
        <v>101860.94809025277</v>
      </c>
      <c r="J25" s="26">
        <v>21</v>
      </c>
      <c r="K25" s="32">
        <f t="shared" si="6"/>
        <v>3.1502499999999933E-2</v>
      </c>
      <c r="M25" s="26">
        <v>21</v>
      </c>
      <c r="N25" s="32">
        <f t="shared" si="7"/>
        <v>1.0499999999999992E-2</v>
      </c>
    </row>
    <row r="26" spans="1:14" x14ac:dyDescent="0.3">
      <c r="A26" s="158">
        <v>22</v>
      </c>
      <c r="B26" s="158">
        <f t="shared" si="4"/>
        <v>2004</v>
      </c>
      <c r="C26" s="164">
        <f t="shared" si="5"/>
        <v>61774.217919628696</v>
      </c>
      <c r="D26" s="148"/>
      <c r="E26" s="162">
        <f t="shared" si="0"/>
        <v>63692.616257122761</v>
      </c>
      <c r="F26" s="143">
        <f t="shared" si="1"/>
        <v>31846.308128561381</v>
      </c>
      <c r="G26" s="143">
        <f t="shared" si="2"/>
        <v>7308.7277155048359</v>
      </c>
      <c r="H26" s="148">
        <f t="shared" si="3"/>
        <v>102847.65210118897</v>
      </c>
      <c r="J26" s="26">
        <v>22</v>
      </c>
      <c r="K26" s="32">
        <f t="shared" si="6"/>
        <v>3.1054999999999933E-2</v>
      </c>
      <c r="M26" s="26">
        <v>22</v>
      </c>
      <c r="N26" s="32">
        <f t="shared" si="7"/>
        <v>1.0124999999999992E-2</v>
      </c>
    </row>
    <row r="27" spans="1:14" x14ac:dyDescent="0.3">
      <c r="A27" s="158">
        <v>23</v>
      </c>
      <c r="B27" s="158">
        <f t="shared" si="4"/>
        <v>2003</v>
      </c>
      <c r="C27" s="164">
        <f t="shared" si="5"/>
        <v>62376.516544345075</v>
      </c>
      <c r="D27" s="148"/>
      <c r="E27" s="162">
        <f t="shared" si="0"/>
        <v>64285.705774476111</v>
      </c>
      <c r="F27" s="143">
        <f t="shared" si="1"/>
        <v>32142.852887238056</v>
      </c>
      <c r="G27" s="143">
        <f t="shared" si="2"/>
        <v>7376.7847376211339</v>
      </c>
      <c r="H27" s="148">
        <f t="shared" si="3"/>
        <v>103805.3433993353</v>
      </c>
      <c r="J27" s="26">
        <v>23</v>
      </c>
      <c r="K27" s="32">
        <f t="shared" si="6"/>
        <v>3.0607499999999933E-2</v>
      </c>
      <c r="M27" s="26">
        <v>23</v>
      </c>
      <c r="N27" s="32">
        <f t="shared" si="7"/>
        <v>9.7499999999999913E-3</v>
      </c>
    </row>
    <row r="28" spans="1:14" x14ac:dyDescent="0.3">
      <c r="A28" s="158">
        <v>24</v>
      </c>
      <c r="B28" s="158">
        <f t="shared" si="4"/>
        <v>2002</v>
      </c>
      <c r="C28" s="164">
        <f t="shared" si="5"/>
        <v>62961.296386948306</v>
      </c>
      <c r="D28" s="148"/>
      <c r="E28" s="162">
        <f t="shared" si="0"/>
        <v>64860.209085978662</v>
      </c>
      <c r="F28" s="143">
        <f t="shared" si="1"/>
        <v>32430.104542989331</v>
      </c>
      <c r="G28" s="143">
        <f t="shared" si="2"/>
        <v>7442.7089926160515</v>
      </c>
      <c r="H28" s="148">
        <f t="shared" si="3"/>
        <v>104733.02262158405</v>
      </c>
      <c r="J28" s="26">
        <v>24</v>
      </c>
      <c r="K28" s="32">
        <f t="shared" si="6"/>
        <v>3.0159999999999933E-2</v>
      </c>
      <c r="M28" s="26">
        <v>24</v>
      </c>
      <c r="N28" s="32">
        <f t="shared" si="7"/>
        <v>9.374999999999991E-3</v>
      </c>
    </row>
    <row r="29" spans="1:14" s="150" customFormat="1" x14ac:dyDescent="0.3">
      <c r="A29" s="165">
        <v>25</v>
      </c>
      <c r="B29" s="165">
        <f t="shared" si="4"/>
        <v>2001</v>
      </c>
      <c r="C29" s="166">
        <f t="shared" si="5"/>
        <v>63527.948054430839</v>
      </c>
      <c r="D29" s="154"/>
      <c r="E29" s="169">
        <f t="shared" si="0"/>
        <v>65415.522210998111</v>
      </c>
      <c r="F29" s="151">
        <f t="shared" si="1"/>
        <v>32707.761105499056</v>
      </c>
      <c r="G29" s="151">
        <f t="shared" si="2"/>
        <v>7506.4311737120333</v>
      </c>
      <c r="H29" s="154">
        <f t="shared" si="3"/>
        <v>105629.7144902092</v>
      </c>
      <c r="J29" s="150">
        <v>25</v>
      </c>
      <c r="K29" s="157">
        <f t="shared" si="6"/>
        <v>2.9712499999999933E-2</v>
      </c>
      <c r="M29" s="150">
        <v>25</v>
      </c>
      <c r="N29" s="157">
        <f t="shared" si="7"/>
        <v>8.9999999999999906E-3</v>
      </c>
    </row>
    <row r="30" spans="1:14" x14ac:dyDescent="0.3">
      <c r="A30" s="158">
        <v>26</v>
      </c>
      <c r="B30" s="168">
        <f t="shared" si="4"/>
        <v>2000</v>
      </c>
      <c r="C30" s="164">
        <f t="shared" si="5"/>
        <v>64075.876606400307</v>
      </c>
      <c r="D30" s="148"/>
      <c r="E30" s="162">
        <f t="shared" si="0"/>
        <v>65951.05713528661</v>
      </c>
      <c r="F30" s="143">
        <f t="shared" si="1"/>
        <v>32975.528567643305</v>
      </c>
      <c r="G30" s="143">
        <f t="shared" si="2"/>
        <v>7567.8838062741379</v>
      </c>
      <c r="H30" s="148">
        <f t="shared" si="3"/>
        <v>106494.46950920405</v>
      </c>
      <c r="J30" s="26">
        <v>26</v>
      </c>
      <c r="K30" s="32">
        <f t="shared" si="6"/>
        <v>2.9264999999999933E-2</v>
      </c>
      <c r="M30" s="26">
        <v>26</v>
      </c>
      <c r="N30" s="32">
        <f t="shared" si="7"/>
        <v>8.6249999999999903E-3</v>
      </c>
    </row>
    <row r="31" spans="1:14" x14ac:dyDescent="0.3">
      <c r="A31" s="158">
        <v>27</v>
      </c>
      <c r="B31" s="158">
        <f t="shared" si="4"/>
        <v>1999</v>
      </c>
      <c r="C31" s="164">
        <f t="shared" si="5"/>
        <v>64604.502588403106</v>
      </c>
      <c r="D31" s="148"/>
      <c r="E31" s="162">
        <f t="shared" si="0"/>
        <v>66466.242841744403</v>
      </c>
      <c r="F31" s="143">
        <f t="shared" si="1"/>
        <v>33233.121420872201</v>
      </c>
      <c r="G31" s="143">
        <f t="shared" si="2"/>
        <v>7627.0013660901704</v>
      </c>
      <c r="H31" s="148">
        <f t="shared" si="3"/>
        <v>107326.36562870679</v>
      </c>
      <c r="J31" s="26">
        <v>27</v>
      </c>
      <c r="K31" s="32">
        <f t="shared" si="6"/>
        <v>2.8817499999999933E-2</v>
      </c>
      <c r="M31" s="26">
        <v>27</v>
      </c>
      <c r="N31" s="32">
        <f t="shared" si="7"/>
        <v>8.24999999999999E-3</v>
      </c>
    </row>
    <row r="32" spans="1:14" x14ac:dyDescent="0.3">
      <c r="A32" s="158">
        <v>28</v>
      </c>
      <c r="B32" s="158">
        <f t="shared" si="4"/>
        <v>1998</v>
      </c>
      <c r="C32" s="164">
        <f t="shared" si="5"/>
        <v>65113.263046286782</v>
      </c>
      <c r="D32" s="148"/>
      <c r="E32" s="162">
        <f t="shared" si="0"/>
        <v>66960.526318909935</v>
      </c>
      <c r="F32" s="143">
        <f t="shared" si="1"/>
        <v>33480.263159454968</v>
      </c>
      <c r="G32" s="143">
        <f t="shared" si="2"/>
        <v>7683.7203950949142</v>
      </c>
      <c r="H32" s="148">
        <f t="shared" si="3"/>
        <v>108124.50987345981</v>
      </c>
      <c r="J32" s="26">
        <v>28</v>
      </c>
      <c r="K32" s="32">
        <f t="shared" si="6"/>
        <v>2.8369999999999933E-2</v>
      </c>
      <c r="M32" s="26">
        <v>28</v>
      </c>
      <c r="N32" s="32">
        <f t="shared" si="7"/>
        <v>7.8749999999999896E-3</v>
      </c>
    </row>
    <row r="33" spans="1:14" x14ac:dyDescent="0.3">
      <c r="A33" s="158">
        <v>29</v>
      </c>
      <c r="B33" s="158">
        <f t="shared" si="4"/>
        <v>1997</v>
      </c>
      <c r="C33" s="164">
        <f t="shared" si="5"/>
        <v>65601.612519133938</v>
      </c>
      <c r="D33" s="148"/>
      <c r="E33" s="162">
        <f t="shared" si="0"/>
        <v>67433.373544699454</v>
      </c>
      <c r="F33" s="143">
        <f t="shared" si="1"/>
        <v>33716.686772349727</v>
      </c>
      <c r="G33" s="143">
        <f t="shared" si="2"/>
        <v>7737.9796142542618</v>
      </c>
      <c r="H33" s="148">
        <f t="shared" si="3"/>
        <v>108888.03993130344</v>
      </c>
      <c r="J33" s="26">
        <v>29</v>
      </c>
      <c r="K33" s="32">
        <f t="shared" si="6"/>
        <v>2.7922499999999933E-2</v>
      </c>
      <c r="M33" s="26">
        <v>29</v>
      </c>
      <c r="N33" s="32">
        <f t="shared" si="7"/>
        <v>7.4999999999999893E-3</v>
      </c>
    </row>
    <row r="34" spans="1:14" s="150" customFormat="1" x14ac:dyDescent="0.3">
      <c r="A34" s="165">
        <v>30</v>
      </c>
      <c r="B34" s="165">
        <f t="shared" si="4"/>
        <v>1996</v>
      </c>
      <c r="C34" s="166">
        <f t="shared" si="5"/>
        <v>66069.024008332766</v>
      </c>
      <c r="D34" s="154"/>
      <c r="E34" s="169">
        <f t="shared" si="0"/>
        <v>67884.270442961701</v>
      </c>
      <c r="F34" s="151">
        <f t="shared" si="1"/>
        <v>33942.13522148085</v>
      </c>
      <c r="G34" s="151">
        <f t="shared" si="2"/>
        <v>7789.7200333298542</v>
      </c>
      <c r="H34" s="154">
        <f t="shared" si="3"/>
        <v>109616.1256977724</v>
      </c>
      <c r="J34" s="150">
        <v>30</v>
      </c>
      <c r="K34" s="157">
        <f t="shared" si="6"/>
        <v>2.7474999999999934E-2</v>
      </c>
      <c r="M34" s="150">
        <v>30</v>
      </c>
      <c r="N34" s="157">
        <f t="shared" si="7"/>
        <v>7.124999999999989E-3</v>
      </c>
    </row>
    <row r="35" spans="1:14" x14ac:dyDescent="0.3">
      <c r="A35" s="158">
        <v>31</v>
      </c>
      <c r="B35" s="168">
        <f t="shared" si="4"/>
        <v>1995</v>
      </c>
      <c r="C35" s="164">
        <f t="shared" si="5"/>
        <v>66514.989920389009</v>
      </c>
      <c r="D35" s="148"/>
      <c r="E35" s="162">
        <f t="shared" si="0"/>
        <v>68312.723810462325</v>
      </c>
      <c r="F35" s="143">
        <f t="shared" si="1"/>
        <v>34156.361905231162</v>
      </c>
      <c r="G35" s="143">
        <f t="shared" si="2"/>
        <v>7838.8850572505507</v>
      </c>
      <c r="H35" s="148">
        <f t="shared" si="3"/>
        <v>110307.97077294403</v>
      </c>
      <c r="J35" s="26">
        <v>31</v>
      </c>
      <c r="K35" s="32">
        <f t="shared" si="6"/>
        <v>2.7027499999999934E-2</v>
      </c>
      <c r="M35" s="26">
        <v>31</v>
      </c>
      <c r="N35" s="32">
        <f t="shared" si="7"/>
        <v>6.7499999999999886E-3</v>
      </c>
    </row>
    <row r="36" spans="1:14" x14ac:dyDescent="0.3">
      <c r="A36" s="158">
        <v>32</v>
      </c>
      <c r="B36" s="158">
        <f t="shared" si="4"/>
        <v>1994</v>
      </c>
      <c r="C36" s="164">
        <f t="shared" si="5"/>
        <v>66939.022981131493</v>
      </c>
      <c r="D36" s="148"/>
      <c r="E36" s="162">
        <f t="shared" si="0"/>
        <v>68718.262211969966</v>
      </c>
      <c r="F36" s="143">
        <f t="shared" si="1"/>
        <v>34359.131105984983</v>
      </c>
      <c r="G36" s="143">
        <f t="shared" si="2"/>
        <v>7885.4205888235538</v>
      </c>
      <c r="H36" s="148">
        <f t="shared" si="3"/>
        <v>110962.81390677851</v>
      </c>
      <c r="J36" s="26">
        <v>32</v>
      </c>
      <c r="K36" s="32">
        <f t="shared" si="6"/>
        <v>2.6579999999999934E-2</v>
      </c>
      <c r="M36" s="26">
        <v>32</v>
      </c>
      <c r="N36" s="32">
        <f t="shared" si="7"/>
        <v>6.3749999999999883E-3</v>
      </c>
    </row>
    <row r="37" spans="1:14" x14ac:dyDescent="0.3">
      <c r="A37" s="158">
        <v>33</v>
      </c>
      <c r="B37" s="158">
        <f t="shared" si="4"/>
        <v>1993</v>
      </c>
      <c r="C37" s="164">
        <f t="shared" si="5"/>
        <v>67340.657119018288</v>
      </c>
      <c r="D37" s="148"/>
      <c r="E37" s="162">
        <f t="shared" si="0"/>
        <v>69100.436841181028</v>
      </c>
      <c r="F37" s="143">
        <f t="shared" si="1"/>
        <v>34550.218420590514</v>
      </c>
      <c r="G37" s="143">
        <f t="shared" si="2"/>
        <v>7929.2751275255232</v>
      </c>
      <c r="H37" s="148">
        <f t="shared" si="3"/>
        <v>111579.93038929708</v>
      </c>
      <c r="J37" s="26">
        <v>33</v>
      </c>
      <c r="K37" s="32">
        <f t="shared" si="6"/>
        <v>2.6132499999999934E-2</v>
      </c>
      <c r="M37" s="26">
        <v>33</v>
      </c>
      <c r="N37" s="32">
        <f t="shared" si="7"/>
        <v>5.999999999999988E-3</v>
      </c>
    </row>
    <row r="38" spans="1:14" x14ac:dyDescent="0.3">
      <c r="A38" s="158">
        <v>34</v>
      </c>
      <c r="B38" s="158">
        <f t="shared" si="4"/>
        <v>1992</v>
      </c>
      <c r="C38" s="164">
        <f t="shared" si="5"/>
        <v>67719.448315312766</v>
      </c>
      <c r="D38" s="148"/>
      <c r="E38" s="162">
        <f t="shared" si="0"/>
        <v>69458.82234529157</v>
      </c>
      <c r="F38" s="143">
        <f t="shared" si="1"/>
        <v>34729.411172645785</v>
      </c>
      <c r="G38" s="143">
        <f t="shared" si="2"/>
        <v>7970.3998641222079</v>
      </c>
      <c r="H38" s="148">
        <f t="shared" si="3"/>
        <v>112158.63338205958</v>
      </c>
      <c r="J38" s="26">
        <v>34</v>
      </c>
      <c r="K38" s="32">
        <f t="shared" si="6"/>
        <v>2.5684999999999934E-2</v>
      </c>
      <c r="M38" s="26">
        <v>34</v>
      </c>
      <c r="N38" s="32">
        <f t="shared" si="7"/>
        <v>5.6249999999999876E-3</v>
      </c>
    </row>
    <row r="39" spans="1:14" s="150" customFormat="1" x14ac:dyDescent="0.3">
      <c r="A39" s="165">
        <v>35</v>
      </c>
      <c r="B39" s="165">
        <f t="shared" si="4"/>
        <v>1991</v>
      </c>
      <c r="C39" s="166">
        <f t="shared" si="5"/>
        <v>68074.975418968155</v>
      </c>
      <c r="D39" s="154"/>
      <c r="E39" s="169">
        <f t="shared" si="0"/>
        <v>69793.017611104355</v>
      </c>
      <c r="F39" s="151">
        <f t="shared" si="1"/>
        <v>34896.508805552177</v>
      </c>
      <c r="G39" s="151">
        <f t="shared" si="2"/>
        <v>8008.7487708742246</v>
      </c>
      <c r="H39" s="154">
        <f t="shared" si="3"/>
        <v>112698.27518753076</v>
      </c>
      <c r="J39" s="150">
        <v>35</v>
      </c>
      <c r="K39" s="157">
        <f t="shared" si="6"/>
        <v>2.5237499999999934E-2</v>
      </c>
      <c r="M39" s="150">
        <v>35</v>
      </c>
      <c r="N39" s="157">
        <f t="shared" si="7"/>
        <v>5.2499999999999873E-3</v>
      </c>
    </row>
    <row r="40" spans="1:14" x14ac:dyDescent="0.3">
      <c r="A40" s="158">
        <v>36</v>
      </c>
      <c r="B40" s="168">
        <f t="shared" si="4"/>
        <v>1990</v>
      </c>
      <c r="C40" s="164">
        <f t="shared" si="5"/>
        <v>68406.840924135628</v>
      </c>
      <c r="D40" s="148"/>
      <c r="E40" s="162">
        <f t="shared" si="0"/>
        <v>70102.646510644947</v>
      </c>
      <c r="F40" s="143">
        <f t="shared" si="1"/>
        <v>35051.323255322473</v>
      </c>
      <c r="G40" s="143">
        <f t="shared" si="2"/>
        <v>8044.2786870965083</v>
      </c>
      <c r="H40" s="148">
        <f t="shared" si="3"/>
        <v>113198.24845306393</v>
      </c>
      <c r="J40" s="26">
        <v>36</v>
      </c>
      <c r="K40" s="32">
        <f t="shared" si="6"/>
        <v>2.4789999999999934E-2</v>
      </c>
      <c r="M40" s="26">
        <v>36</v>
      </c>
      <c r="N40" s="32">
        <f t="shared" si="7"/>
        <v>4.874999999999987E-3</v>
      </c>
    </row>
    <row r="41" spans="1:14" x14ac:dyDescent="0.3">
      <c r="A41" s="158">
        <v>37</v>
      </c>
      <c r="B41" s="158">
        <f t="shared" si="4"/>
        <v>1989</v>
      </c>
      <c r="C41" s="164">
        <f t="shared" si="5"/>
        <v>68714.671708294234</v>
      </c>
      <c r="D41" s="148"/>
      <c r="E41" s="162">
        <f t="shared" si="0"/>
        <v>70387.358604353387</v>
      </c>
      <c r="F41" s="143">
        <f t="shared" si="1"/>
        <v>35193.679302176693</v>
      </c>
      <c r="G41" s="143">
        <f t="shared" si="2"/>
        <v>8076.9493998495509</v>
      </c>
      <c r="H41" s="148">
        <f t="shared" si="3"/>
        <v>113657.98730637963</v>
      </c>
      <c r="J41" s="26">
        <v>37</v>
      </c>
      <c r="K41" s="32">
        <f t="shared" si="6"/>
        <v>2.4342499999999934E-2</v>
      </c>
      <c r="M41" s="26">
        <v>37</v>
      </c>
      <c r="N41" s="32">
        <f t="shared" si="7"/>
        <v>4.4999999999999866E-3</v>
      </c>
    </row>
    <row r="42" spans="1:14" x14ac:dyDescent="0.3">
      <c r="A42" s="158">
        <v>38</v>
      </c>
      <c r="B42" s="158">
        <f t="shared" si="4"/>
        <v>1988</v>
      </c>
      <c r="C42" s="164">
        <f t="shared" si="5"/>
        <v>68998.119729090948</v>
      </c>
      <c r="D42" s="148"/>
      <c r="E42" s="162">
        <f t="shared" si="0"/>
        <v>70646.829800017571</v>
      </c>
      <c r="F42" s="143">
        <f t="shared" si="1"/>
        <v>35323.414900008785</v>
      </c>
      <c r="G42" s="143">
        <f t="shared" si="2"/>
        <v>8106.7237195520156</v>
      </c>
      <c r="H42" s="148">
        <f t="shared" si="3"/>
        <v>114076.96841957836</v>
      </c>
      <c r="J42" s="26">
        <v>38</v>
      </c>
      <c r="K42" s="32">
        <f t="shared" si="6"/>
        <v>2.3894999999999934E-2</v>
      </c>
      <c r="M42" s="26">
        <v>38</v>
      </c>
      <c r="N42" s="32">
        <f t="shared" si="7"/>
        <v>4.1249999999999863E-3</v>
      </c>
    </row>
    <row r="43" spans="1:14" x14ac:dyDescent="0.3">
      <c r="A43" s="158">
        <v>39</v>
      </c>
      <c r="B43" s="158">
        <f t="shared" si="4"/>
        <v>1987</v>
      </c>
      <c r="C43" s="164">
        <f t="shared" si="5"/>
        <v>69256.862678075035</v>
      </c>
      <c r="D43" s="148"/>
      <c r="E43" s="162">
        <f t="shared" si="0"/>
        <v>70880.762965719201</v>
      </c>
      <c r="F43" s="143">
        <f t="shared" si="1"/>
        <v>35440.381482859601</v>
      </c>
      <c r="G43" s="143">
        <f t="shared" si="2"/>
        <v>8133.5675503162774</v>
      </c>
      <c r="H43" s="148">
        <f t="shared" si="3"/>
        <v>114454.71199889507</v>
      </c>
      <c r="J43" s="26">
        <v>39</v>
      </c>
      <c r="K43" s="32">
        <f t="shared" si="6"/>
        <v>2.3447499999999934E-2</v>
      </c>
      <c r="M43" s="26">
        <v>39</v>
      </c>
      <c r="N43" s="32">
        <f t="shared" si="7"/>
        <v>3.7499999999999864E-3</v>
      </c>
    </row>
    <row r="44" spans="1:14" s="150" customFormat="1" x14ac:dyDescent="0.3">
      <c r="A44" s="165">
        <v>40</v>
      </c>
      <c r="B44" s="165">
        <f t="shared" si="4"/>
        <v>1986</v>
      </c>
      <c r="C44" s="166">
        <f t="shared" si="5"/>
        <v>69490.604589613533</v>
      </c>
      <c r="D44" s="154"/>
      <c r="E44" s="169">
        <f t="shared" si="0"/>
        <v>71088.888495174644</v>
      </c>
      <c r="F44" s="151">
        <f t="shared" si="1"/>
        <v>35544.444247587322</v>
      </c>
      <c r="G44" s="151">
        <f t="shared" si="2"/>
        <v>8157.4499548212907</v>
      </c>
      <c r="H44" s="154">
        <f t="shared" si="3"/>
        <v>114790.78269758326</v>
      </c>
      <c r="J44" s="150">
        <v>40</v>
      </c>
      <c r="K44" s="157">
        <f t="shared" si="6"/>
        <v>2.2999999999999934E-2</v>
      </c>
      <c r="M44" s="150">
        <v>40</v>
      </c>
      <c r="N44" s="157">
        <f t="shared" si="7"/>
        <v>3.3749999999999865E-3</v>
      </c>
    </row>
    <row r="45" spans="1:14" x14ac:dyDescent="0.3">
      <c r="N45" s="32"/>
    </row>
  </sheetData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0675-8CDF-477A-A4FA-C6D8D07319DD}">
  <dimension ref="A2:R45"/>
  <sheetViews>
    <sheetView zoomScaleNormal="100" workbookViewId="0">
      <selection activeCell="C5" sqref="C5"/>
    </sheetView>
  </sheetViews>
  <sheetFormatPr defaultColWidth="12.1796875" defaultRowHeight="13" x14ac:dyDescent="0.3"/>
  <cols>
    <col min="1" max="1" width="8.81640625" style="158" customWidth="1"/>
    <col min="2" max="2" width="9.1796875" style="158" customWidth="1"/>
    <col min="3" max="3" width="8.54296875" style="170" customWidth="1"/>
    <col min="4" max="4" width="2.90625" style="26" hidden="1" customWidth="1"/>
    <col min="5" max="5" width="11.26953125" style="171" customWidth="1"/>
    <col min="6" max="6" width="9.7265625" style="26" hidden="1" customWidth="1"/>
    <col min="7" max="7" width="10.1796875" style="26" hidden="1" customWidth="1"/>
    <col min="8" max="8" width="13" style="26" hidden="1" customWidth="1"/>
    <col min="9" max="9" width="12.1796875" style="26"/>
    <col min="10" max="10" width="5.54296875" style="26" customWidth="1"/>
    <col min="11" max="11" width="8.7265625" style="26" customWidth="1"/>
    <col min="12" max="12" width="12.453125" style="26" customWidth="1"/>
    <col min="13" max="13" width="5.453125" style="26" customWidth="1"/>
    <col min="14" max="14" width="8.81640625" style="26" customWidth="1"/>
    <col min="15" max="15" width="12.453125" style="26" customWidth="1"/>
    <col min="16" max="16384" width="12.1796875" style="26"/>
  </cols>
  <sheetData>
    <row r="2" spans="1:18" ht="38.5" customHeight="1" x14ac:dyDescent="0.3">
      <c r="B2" s="310" t="s">
        <v>40</v>
      </c>
      <c r="C2" s="310"/>
      <c r="E2" s="174" t="s">
        <v>87</v>
      </c>
      <c r="J2" s="138"/>
      <c r="K2" s="311" t="s">
        <v>84</v>
      </c>
      <c r="L2" s="311"/>
      <c r="M2" s="311"/>
      <c r="N2" s="311"/>
      <c r="O2" s="311"/>
      <c r="P2" s="311"/>
      <c r="Q2" s="138"/>
      <c r="R2" s="138"/>
    </row>
    <row r="3" spans="1:18" s="140" customFormat="1" ht="39" x14ac:dyDescent="0.3">
      <c r="A3" s="140" t="s">
        <v>41</v>
      </c>
      <c r="B3" s="140" t="s">
        <v>42</v>
      </c>
      <c r="C3" s="159" t="s">
        <v>43</v>
      </c>
      <c r="E3" s="173" t="s">
        <v>45</v>
      </c>
      <c r="F3" s="140" t="s">
        <v>78</v>
      </c>
      <c r="G3" s="140" t="s">
        <v>79</v>
      </c>
      <c r="H3" s="140" t="s">
        <v>80</v>
      </c>
      <c r="J3" s="26" t="s">
        <v>47</v>
      </c>
      <c r="K3" s="141" t="s">
        <v>81</v>
      </c>
      <c r="L3" s="26" t="s">
        <v>48</v>
      </c>
      <c r="M3" s="140" t="s">
        <v>47</v>
      </c>
      <c r="N3" s="140" t="s">
        <v>82</v>
      </c>
      <c r="O3" s="140" t="s">
        <v>49</v>
      </c>
    </row>
    <row r="4" spans="1:18" ht="14" x14ac:dyDescent="0.3">
      <c r="A4" s="158" t="s">
        <v>50</v>
      </c>
      <c r="B4" s="160">
        <v>2025</v>
      </c>
      <c r="C4" s="161">
        <v>43273</v>
      </c>
      <c r="D4" s="148"/>
      <c r="E4" s="172">
        <f t="shared" ref="E4:E44" si="0">SUM(C4*K4)+C4</f>
        <v>45042.865700000002</v>
      </c>
      <c r="F4" s="143">
        <f t="shared" ref="F4:F44" si="1">SUM(E4*0.5)</f>
        <v>22521.432850000001</v>
      </c>
      <c r="G4" s="143">
        <f t="shared" ref="G4:G44" si="2">SUM(E4+F4)*0.0765</f>
        <v>5168.6688390750005</v>
      </c>
      <c r="H4" s="163">
        <f t="shared" ref="H4:H44" si="3">SUM(E4+F4+G4)</f>
        <v>72732.967389075013</v>
      </c>
      <c r="J4" s="26">
        <v>0</v>
      </c>
      <c r="K4" s="32">
        <v>4.0899999999999999E-2</v>
      </c>
      <c r="L4" s="34">
        <f>((0.0409-0.023)/40)</f>
        <v>4.4749999999999998E-4</v>
      </c>
      <c r="M4" s="26">
        <v>0</v>
      </c>
      <c r="N4" s="32"/>
      <c r="O4" s="34"/>
    </row>
    <row r="5" spans="1:18" x14ac:dyDescent="0.3">
      <c r="A5" s="158">
        <v>1</v>
      </c>
      <c r="B5" s="158">
        <f t="shared" ref="B5:B44" si="4">B4-1</f>
        <v>2024</v>
      </c>
      <c r="C5" s="164">
        <f t="shared" ref="C5:C44" si="5">SUM(C4*N5)+C4</f>
        <v>44051.913999999997</v>
      </c>
      <c r="D5" s="148"/>
      <c r="E5" s="162">
        <f t="shared" si="0"/>
        <v>45833.924051085</v>
      </c>
      <c r="F5" s="143">
        <f t="shared" si="1"/>
        <v>22916.9620255425</v>
      </c>
      <c r="G5" s="143">
        <f t="shared" si="2"/>
        <v>5259.4427848620035</v>
      </c>
      <c r="H5" s="148">
        <f t="shared" si="3"/>
        <v>74010.328861489514</v>
      </c>
      <c r="J5" s="26">
        <v>1</v>
      </c>
      <c r="K5" s="32">
        <f t="shared" ref="K5:K44" si="6">K4-$L$4</f>
        <v>4.0452500000000002E-2</v>
      </c>
      <c r="L5" s="149"/>
      <c r="M5" s="26">
        <v>1</v>
      </c>
      <c r="N5" s="32">
        <v>1.7999999999999999E-2</v>
      </c>
      <c r="O5" s="34">
        <f>((0.02-0.005)/40)</f>
        <v>3.7500000000000001E-4</v>
      </c>
    </row>
    <row r="6" spans="1:18" x14ac:dyDescent="0.3">
      <c r="A6" s="158">
        <v>2</v>
      </c>
      <c r="B6" s="158">
        <f t="shared" si="4"/>
        <v>2023</v>
      </c>
      <c r="C6" s="164">
        <f t="shared" si="5"/>
        <v>44828.328984249994</v>
      </c>
      <c r="D6" s="148"/>
      <c r="E6" s="162">
        <f t="shared" si="0"/>
        <v>46621.686285264914</v>
      </c>
      <c r="F6" s="143">
        <f t="shared" si="1"/>
        <v>23310.843142632457</v>
      </c>
      <c r="G6" s="143">
        <f t="shared" si="2"/>
        <v>5349.8385012341487</v>
      </c>
      <c r="H6" s="148">
        <f t="shared" si="3"/>
        <v>75282.36792913152</v>
      </c>
      <c r="J6" s="26">
        <v>2</v>
      </c>
      <c r="K6" s="32">
        <f t="shared" si="6"/>
        <v>4.0004999999999999E-2</v>
      </c>
      <c r="M6" s="26">
        <v>2</v>
      </c>
      <c r="N6" s="32">
        <f t="shared" ref="N6:N44" si="7">N5-$O$5</f>
        <v>1.7624999999999998E-2</v>
      </c>
    </row>
    <row r="7" spans="1:18" x14ac:dyDescent="0.3">
      <c r="A7" s="158">
        <v>3</v>
      </c>
      <c r="B7" s="158">
        <f t="shared" si="4"/>
        <v>2022</v>
      </c>
      <c r="C7" s="164">
        <f t="shared" si="5"/>
        <v>45601.617659228308</v>
      </c>
      <c r="D7" s="148"/>
      <c r="E7" s="162">
        <f t="shared" si="0"/>
        <v>47405.503649783233</v>
      </c>
      <c r="F7" s="143">
        <f t="shared" si="1"/>
        <v>23702.751824891617</v>
      </c>
      <c r="G7" s="143">
        <f t="shared" si="2"/>
        <v>5439.7815438126263</v>
      </c>
      <c r="H7" s="148">
        <f t="shared" si="3"/>
        <v>76548.037018487477</v>
      </c>
      <c r="J7" s="26">
        <v>3</v>
      </c>
      <c r="K7" s="32">
        <f t="shared" si="6"/>
        <v>3.9557499999999995E-2</v>
      </c>
      <c r="M7" s="26">
        <v>3</v>
      </c>
      <c r="N7" s="32">
        <f t="shared" si="7"/>
        <v>1.7249999999999998E-2</v>
      </c>
    </row>
    <row r="8" spans="1:18" x14ac:dyDescent="0.3">
      <c r="A8" s="158">
        <v>4</v>
      </c>
      <c r="B8" s="158">
        <f t="shared" si="4"/>
        <v>2021</v>
      </c>
      <c r="C8" s="164">
        <f t="shared" si="5"/>
        <v>46371.144957227785</v>
      </c>
      <c r="D8" s="148"/>
      <c r="E8" s="162">
        <f t="shared" si="0"/>
        <v>48184.720436504962</v>
      </c>
      <c r="F8" s="143">
        <f t="shared" si="1"/>
        <v>24092.360218252481</v>
      </c>
      <c r="G8" s="143">
        <f t="shared" si="2"/>
        <v>5529.1966700889443</v>
      </c>
      <c r="H8" s="148">
        <f t="shared" si="3"/>
        <v>77806.277324846393</v>
      </c>
      <c r="J8" s="26">
        <v>4</v>
      </c>
      <c r="K8" s="32">
        <f t="shared" si="6"/>
        <v>3.9109999999999992E-2</v>
      </c>
      <c r="M8" s="26">
        <v>4</v>
      </c>
      <c r="N8" s="32">
        <f t="shared" si="7"/>
        <v>1.6874999999999998E-2</v>
      </c>
    </row>
    <row r="9" spans="1:18" s="155" customFormat="1" x14ac:dyDescent="0.3">
      <c r="A9" s="165">
        <v>5</v>
      </c>
      <c r="B9" s="165">
        <f t="shared" si="4"/>
        <v>2020</v>
      </c>
      <c r="C9" s="166">
        <f t="shared" si="5"/>
        <v>47136.268849022046</v>
      </c>
      <c r="D9" s="154"/>
      <c r="E9" s="167">
        <f t="shared" si="0"/>
        <v>48958.674843397363</v>
      </c>
      <c r="F9" s="151">
        <f t="shared" si="1"/>
        <v>24479.337421698681</v>
      </c>
      <c r="G9" s="153">
        <f t="shared" si="2"/>
        <v>5618.0079382798467</v>
      </c>
      <c r="H9" s="154">
        <f t="shared" si="3"/>
        <v>79056.020203375883</v>
      </c>
      <c r="J9" s="155">
        <v>5</v>
      </c>
      <c r="K9" s="156">
        <f t="shared" si="6"/>
        <v>3.8662499999999989E-2</v>
      </c>
      <c r="M9" s="155">
        <v>5</v>
      </c>
      <c r="N9" s="156">
        <f t="shared" si="7"/>
        <v>1.6499999999999997E-2</v>
      </c>
      <c r="P9" s="155">
        <f>C9/C4</f>
        <v>1.089276658632913</v>
      </c>
    </row>
    <row r="10" spans="1:18" x14ac:dyDescent="0.3">
      <c r="A10" s="158">
        <v>6</v>
      </c>
      <c r="B10" s="168">
        <f t="shared" si="4"/>
        <v>2019</v>
      </c>
      <c r="C10" s="164">
        <f t="shared" si="5"/>
        <v>47896.341184212528</v>
      </c>
      <c r="D10" s="148"/>
      <c r="E10" s="162">
        <f t="shared" si="0"/>
        <v>49726.699862567206</v>
      </c>
      <c r="F10" s="143">
        <f t="shared" si="1"/>
        <v>24863.349931283603</v>
      </c>
      <c r="G10" s="143">
        <f t="shared" si="2"/>
        <v>5706.1388092295865</v>
      </c>
      <c r="H10" s="148">
        <f t="shared" si="3"/>
        <v>80296.188603080387</v>
      </c>
      <c r="J10" s="26">
        <v>6</v>
      </c>
      <c r="K10" s="32">
        <f t="shared" si="6"/>
        <v>3.8214999999999985E-2</v>
      </c>
      <c r="M10" s="26">
        <v>6</v>
      </c>
      <c r="N10" s="32">
        <f t="shared" si="7"/>
        <v>1.6124999999999997E-2</v>
      </c>
    </row>
    <row r="11" spans="1:18" x14ac:dyDescent="0.3">
      <c r="A11" s="158">
        <v>7</v>
      </c>
      <c r="B11" s="158">
        <f t="shared" si="4"/>
        <v>2018</v>
      </c>
      <c r="C11" s="164">
        <f t="shared" si="5"/>
        <v>48650.708557863873</v>
      </c>
      <c r="D11" s="148"/>
      <c r="E11" s="162">
        <f t="shared" si="0"/>
        <v>50488.124193322998</v>
      </c>
      <c r="F11" s="143">
        <f t="shared" si="1"/>
        <v>25244.062096661499</v>
      </c>
      <c r="G11" s="143">
        <f t="shared" si="2"/>
        <v>5793.5122511838144</v>
      </c>
      <c r="H11" s="148">
        <f t="shared" si="3"/>
        <v>81525.698541168313</v>
      </c>
      <c r="J11" s="26">
        <v>7</v>
      </c>
      <c r="K11" s="32">
        <f t="shared" si="6"/>
        <v>3.7767499999999982E-2</v>
      </c>
      <c r="M11" s="26">
        <v>7</v>
      </c>
      <c r="N11" s="32">
        <f t="shared" si="7"/>
        <v>1.5749999999999997E-2</v>
      </c>
    </row>
    <row r="12" spans="1:18" x14ac:dyDescent="0.3">
      <c r="A12" s="158">
        <v>8</v>
      </c>
      <c r="B12" s="158">
        <f t="shared" si="4"/>
        <v>2017</v>
      </c>
      <c r="C12" s="164">
        <f t="shared" si="5"/>
        <v>49398.713201941027</v>
      </c>
      <c r="D12" s="148"/>
      <c r="E12" s="162">
        <f t="shared" si="0"/>
        <v>51242.273178637464</v>
      </c>
      <c r="F12" s="143">
        <f t="shared" si="1"/>
        <v>25621.136589318732</v>
      </c>
      <c r="G12" s="143">
        <f t="shared" si="2"/>
        <v>5880.050847248649</v>
      </c>
      <c r="H12" s="148">
        <f t="shared" si="3"/>
        <v>82743.460615204851</v>
      </c>
      <c r="J12" s="26">
        <v>8</v>
      </c>
      <c r="K12" s="32">
        <f t="shared" si="6"/>
        <v>3.7319999999999978E-2</v>
      </c>
      <c r="M12" s="26">
        <v>8</v>
      </c>
      <c r="N12" s="32">
        <f t="shared" si="7"/>
        <v>1.5374999999999996E-2</v>
      </c>
    </row>
    <row r="13" spans="1:18" x14ac:dyDescent="0.3">
      <c r="A13" s="158">
        <v>9</v>
      </c>
      <c r="B13" s="158">
        <f t="shared" si="4"/>
        <v>2016</v>
      </c>
      <c r="C13" s="164">
        <f t="shared" si="5"/>
        <v>50139.693899970145</v>
      </c>
      <c r="D13" s="148"/>
      <c r="E13" s="162">
        <f t="shared" si="0"/>
        <v>51988.469763296795</v>
      </c>
      <c r="F13" s="143">
        <f t="shared" si="1"/>
        <v>25994.234881648397</v>
      </c>
      <c r="G13" s="143">
        <f t="shared" si="2"/>
        <v>5965.6769053383068</v>
      </c>
      <c r="H13" s="148">
        <f t="shared" si="3"/>
        <v>83948.381550283491</v>
      </c>
      <c r="J13" s="26">
        <v>9</v>
      </c>
      <c r="K13" s="32">
        <f t="shared" si="6"/>
        <v>3.6872499999999975E-2</v>
      </c>
      <c r="M13" s="26">
        <v>9</v>
      </c>
      <c r="N13" s="32">
        <f t="shared" si="7"/>
        <v>1.4999999999999996E-2</v>
      </c>
    </row>
    <row r="14" spans="1:18" s="150" customFormat="1" x14ac:dyDescent="0.3">
      <c r="A14" s="165">
        <v>10</v>
      </c>
      <c r="B14" s="165">
        <f t="shared" si="4"/>
        <v>2015</v>
      </c>
      <c r="C14" s="166">
        <f t="shared" si="5"/>
        <v>50872.986923257209</v>
      </c>
      <c r="D14" s="154"/>
      <c r="E14" s="169">
        <f t="shared" si="0"/>
        <v>52726.035471936848</v>
      </c>
      <c r="F14" s="151">
        <f t="shared" si="1"/>
        <v>26363.017735968424</v>
      </c>
      <c r="G14" s="151">
        <f t="shared" si="2"/>
        <v>6050.3125704047525</v>
      </c>
      <c r="H14" s="154">
        <f t="shared" si="3"/>
        <v>85139.365778310021</v>
      </c>
      <c r="J14" s="150">
        <v>10</v>
      </c>
      <c r="K14" s="157">
        <f t="shared" si="6"/>
        <v>3.6424999999999971E-2</v>
      </c>
      <c r="M14" s="150">
        <v>10</v>
      </c>
      <c r="N14" s="157">
        <f t="shared" si="7"/>
        <v>1.4624999999999996E-2</v>
      </c>
    </row>
    <row r="15" spans="1:18" x14ac:dyDescent="0.3">
      <c r="A15" s="158">
        <v>11</v>
      </c>
      <c r="B15" s="168">
        <f t="shared" si="4"/>
        <v>2014</v>
      </c>
      <c r="C15" s="164">
        <f t="shared" si="5"/>
        <v>51597.926986913626</v>
      </c>
      <c r="D15" s="148"/>
      <c r="E15" s="162">
        <f t="shared" si="0"/>
        <v>53454.291405085307</v>
      </c>
      <c r="F15" s="143">
        <f t="shared" si="1"/>
        <v>26727.145702542653</v>
      </c>
      <c r="G15" s="143">
        <f t="shared" si="2"/>
        <v>6133.8799387335393</v>
      </c>
      <c r="H15" s="148">
        <f t="shared" si="3"/>
        <v>86315.31704636151</v>
      </c>
      <c r="J15" s="26">
        <v>11</v>
      </c>
      <c r="K15" s="32">
        <f t="shared" si="6"/>
        <v>3.5977499999999968E-2</v>
      </c>
      <c r="M15" s="26">
        <v>11</v>
      </c>
      <c r="N15" s="32">
        <f t="shared" si="7"/>
        <v>1.4249999999999995E-2</v>
      </c>
    </row>
    <row r="16" spans="1:18" x14ac:dyDescent="0.3">
      <c r="A16" s="158">
        <v>12</v>
      </c>
      <c r="B16" s="158">
        <f t="shared" si="4"/>
        <v>2013</v>
      </c>
      <c r="C16" s="164">
        <f t="shared" si="5"/>
        <v>52313.84822385705</v>
      </c>
      <c r="D16" s="148"/>
      <c r="E16" s="162">
        <f t="shared" si="0"/>
        <v>54172.559251250692</v>
      </c>
      <c r="F16" s="143">
        <f t="shared" si="1"/>
        <v>27086.279625625346</v>
      </c>
      <c r="G16" s="143">
        <f t="shared" si="2"/>
        <v>6216.3011740810161</v>
      </c>
      <c r="H16" s="148">
        <f t="shared" si="3"/>
        <v>87475.140050957052</v>
      </c>
      <c r="J16" s="26">
        <v>12</v>
      </c>
      <c r="K16" s="32">
        <f t="shared" si="6"/>
        <v>3.5529999999999964E-2</v>
      </c>
      <c r="M16" s="26">
        <v>12</v>
      </c>
      <c r="N16" s="32">
        <f t="shared" si="7"/>
        <v>1.3874999999999995E-2</v>
      </c>
    </row>
    <row r="17" spans="1:14" x14ac:dyDescent="0.3">
      <c r="A17" s="158">
        <v>13</v>
      </c>
      <c r="B17" s="158">
        <f t="shared" si="4"/>
        <v>2012</v>
      </c>
      <c r="C17" s="164">
        <f t="shared" si="5"/>
        <v>53020.085174879117</v>
      </c>
      <c r="D17" s="148"/>
      <c r="E17" s="162">
        <f t="shared" si="0"/>
        <v>54880.162313026813</v>
      </c>
      <c r="F17" s="143">
        <f t="shared" si="1"/>
        <v>27440.081156513406</v>
      </c>
      <c r="G17" s="143">
        <f t="shared" si="2"/>
        <v>6297.4986254198266</v>
      </c>
      <c r="H17" s="148">
        <f t="shared" si="3"/>
        <v>88617.742094960049</v>
      </c>
      <c r="J17" s="26">
        <v>13</v>
      </c>
      <c r="K17" s="32">
        <f t="shared" si="6"/>
        <v>3.5082499999999961E-2</v>
      </c>
      <c r="M17" s="26">
        <v>13</v>
      </c>
      <c r="N17" s="32">
        <f t="shared" si="7"/>
        <v>1.3499999999999995E-2</v>
      </c>
    </row>
    <row r="18" spans="1:14" x14ac:dyDescent="0.3">
      <c r="A18" s="158">
        <v>14</v>
      </c>
      <c r="B18" s="158">
        <f t="shared" si="4"/>
        <v>2011</v>
      </c>
      <c r="C18" s="164">
        <f t="shared" si="5"/>
        <v>53715.973792799407</v>
      </c>
      <c r="D18" s="148"/>
      <c r="E18" s="162">
        <f t="shared" si="0"/>
        <v>55576.426545113012</v>
      </c>
      <c r="F18" s="143">
        <f t="shared" si="1"/>
        <v>27788.213272556506</v>
      </c>
      <c r="G18" s="143">
        <f t="shared" si="2"/>
        <v>6377.3949460517188</v>
      </c>
      <c r="H18" s="148">
        <f t="shared" si="3"/>
        <v>89742.03476372124</v>
      </c>
      <c r="J18" s="26">
        <v>14</v>
      </c>
      <c r="K18" s="32">
        <f t="shared" si="6"/>
        <v>3.4634999999999957E-2</v>
      </c>
      <c r="M18" s="26">
        <v>14</v>
      </c>
      <c r="N18" s="32">
        <f t="shared" si="7"/>
        <v>1.3124999999999994E-2</v>
      </c>
    </row>
    <row r="19" spans="1:14" s="150" customFormat="1" x14ac:dyDescent="0.3">
      <c r="A19" s="165">
        <v>15</v>
      </c>
      <c r="B19" s="165">
        <f t="shared" si="4"/>
        <v>2010</v>
      </c>
      <c r="C19" s="166">
        <f t="shared" si="5"/>
        <v>54400.852458657595</v>
      </c>
      <c r="D19" s="154"/>
      <c r="E19" s="169">
        <f t="shared" si="0"/>
        <v>56260.681602087949</v>
      </c>
      <c r="F19" s="151">
        <f t="shared" si="1"/>
        <v>28130.340801043974</v>
      </c>
      <c r="G19" s="151">
        <f t="shared" si="2"/>
        <v>6455.9132138395917</v>
      </c>
      <c r="H19" s="154">
        <f t="shared" si="3"/>
        <v>90846.935616971517</v>
      </c>
      <c r="J19" s="150">
        <v>15</v>
      </c>
      <c r="K19" s="157">
        <f t="shared" si="6"/>
        <v>3.4187499999999954E-2</v>
      </c>
      <c r="M19" s="150">
        <v>15</v>
      </c>
      <c r="N19" s="157">
        <f t="shared" si="7"/>
        <v>1.2749999999999994E-2</v>
      </c>
    </row>
    <row r="20" spans="1:14" x14ac:dyDescent="0.3">
      <c r="A20" s="158">
        <v>16</v>
      </c>
      <c r="B20" s="168">
        <f t="shared" si="4"/>
        <v>2009</v>
      </c>
      <c r="C20" s="164">
        <f t="shared" si="5"/>
        <v>55074.06300783348</v>
      </c>
      <c r="D20" s="148"/>
      <c r="E20" s="162">
        <f t="shared" si="0"/>
        <v>56932.261893717776</v>
      </c>
      <c r="F20" s="143">
        <f t="shared" si="1"/>
        <v>28466.130946858888</v>
      </c>
      <c r="G20" s="143">
        <f t="shared" si="2"/>
        <v>6532.9770523041143</v>
      </c>
      <c r="H20" s="148">
        <f t="shared" si="3"/>
        <v>91931.369892880772</v>
      </c>
      <c r="J20" s="26">
        <v>16</v>
      </c>
      <c r="K20" s="32">
        <f t="shared" si="6"/>
        <v>3.3739999999999951E-2</v>
      </c>
      <c r="M20" s="26">
        <v>16</v>
      </c>
      <c r="N20" s="32">
        <f t="shared" si="7"/>
        <v>1.2374999999999994E-2</v>
      </c>
    </row>
    <row r="21" spans="1:14" x14ac:dyDescent="0.3">
      <c r="A21" s="158">
        <v>17</v>
      </c>
      <c r="B21" s="158">
        <f t="shared" si="4"/>
        <v>2008</v>
      </c>
      <c r="C21" s="164">
        <f t="shared" si="5"/>
        <v>55734.951763927478</v>
      </c>
      <c r="D21" s="148"/>
      <c r="E21" s="162">
        <f t="shared" si="0"/>
        <v>57590.507645528029</v>
      </c>
      <c r="F21" s="143">
        <f t="shared" si="1"/>
        <v>28795.253822764014</v>
      </c>
      <c r="G21" s="143">
        <f t="shared" si="2"/>
        <v>6608.5107523243405</v>
      </c>
      <c r="H21" s="148">
        <f t="shared" si="3"/>
        <v>92994.272220616374</v>
      </c>
      <c r="J21" s="26">
        <v>17</v>
      </c>
      <c r="K21" s="32">
        <f t="shared" si="6"/>
        <v>3.3292499999999947E-2</v>
      </c>
      <c r="M21" s="26">
        <v>17</v>
      </c>
      <c r="N21" s="32">
        <f t="shared" si="7"/>
        <v>1.1999999999999993E-2</v>
      </c>
    </row>
    <row r="22" spans="1:14" x14ac:dyDescent="0.3">
      <c r="A22" s="158">
        <v>18</v>
      </c>
      <c r="B22" s="158">
        <f t="shared" si="4"/>
        <v>2007</v>
      </c>
      <c r="C22" s="164">
        <f t="shared" si="5"/>
        <v>56382.870578183138</v>
      </c>
      <c r="D22" s="148"/>
      <c r="E22" s="162">
        <f t="shared" si="0"/>
        <v>58234.76596232356</v>
      </c>
      <c r="F22" s="143">
        <f t="shared" si="1"/>
        <v>29117.38298116178</v>
      </c>
      <c r="G22" s="143">
        <f t="shared" si="2"/>
        <v>6682.4393941766284</v>
      </c>
      <c r="H22" s="148">
        <f t="shared" si="3"/>
        <v>94034.588337661975</v>
      </c>
      <c r="J22" s="26">
        <v>18</v>
      </c>
      <c r="K22" s="32">
        <f t="shared" si="6"/>
        <v>3.2844999999999944E-2</v>
      </c>
      <c r="M22" s="26">
        <v>18</v>
      </c>
      <c r="N22" s="32">
        <f t="shared" si="7"/>
        <v>1.1624999999999993E-2</v>
      </c>
    </row>
    <row r="23" spans="1:14" x14ac:dyDescent="0.3">
      <c r="A23" s="158">
        <v>19</v>
      </c>
      <c r="B23" s="158">
        <f t="shared" si="4"/>
        <v>2006</v>
      </c>
      <c r="C23" s="164">
        <f t="shared" si="5"/>
        <v>57017.177872187698</v>
      </c>
      <c r="D23" s="148"/>
      <c r="E23" s="162">
        <f t="shared" si="0"/>
        <v>58864.391892301894</v>
      </c>
      <c r="F23" s="143">
        <f t="shared" si="1"/>
        <v>29432.195946150947</v>
      </c>
      <c r="G23" s="143">
        <f t="shared" si="2"/>
        <v>6754.688969641642</v>
      </c>
      <c r="H23" s="148">
        <f t="shared" si="3"/>
        <v>95051.276808094481</v>
      </c>
      <c r="J23" s="26">
        <v>19</v>
      </c>
      <c r="K23" s="32">
        <f t="shared" si="6"/>
        <v>3.239749999999994E-2</v>
      </c>
      <c r="M23" s="26">
        <v>19</v>
      </c>
      <c r="N23" s="32">
        <f t="shared" si="7"/>
        <v>1.1249999999999993E-2</v>
      </c>
    </row>
    <row r="24" spans="1:14" s="150" customFormat="1" x14ac:dyDescent="0.3">
      <c r="A24" s="165">
        <v>20</v>
      </c>
      <c r="B24" s="165">
        <f t="shared" si="4"/>
        <v>2005</v>
      </c>
      <c r="C24" s="166">
        <f t="shared" si="5"/>
        <v>57637.23968154774</v>
      </c>
      <c r="D24" s="154"/>
      <c r="E24" s="169">
        <f t="shared" si="0"/>
        <v>59478.749489373185</v>
      </c>
      <c r="F24" s="151">
        <f t="shared" si="1"/>
        <v>29739.374744686593</v>
      </c>
      <c r="G24" s="151">
        <f t="shared" si="2"/>
        <v>6825.1865039055729</v>
      </c>
      <c r="H24" s="154">
        <f t="shared" si="3"/>
        <v>96043.310737965352</v>
      </c>
      <c r="J24" s="150">
        <v>20</v>
      </c>
      <c r="K24" s="157">
        <f t="shared" si="6"/>
        <v>3.1949999999999937E-2</v>
      </c>
      <c r="M24" s="150">
        <v>20</v>
      </c>
      <c r="N24" s="157">
        <f t="shared" si="7"/>
        <v>1.0874999999999992E-2</v>
      </c>
    </row>
    <row r="25" spans="1:14" x14ac:dyDescent="0.3">
      <c r="A25" s="158">
        <v>21</v>
      </c>
      <c r="B25" s="168">
        <f t="shared" si="4"/>
        <v>2004</v>
      </c>
      <c r="C25" s="164">
        <f t="shared" si="5"/>
        <v>58242.430698203993</v>
      </c>
      <c r="D25" s="148"/>
      <c r="E25" s="162">
        <f t="shared" si="0"/>
        <v>60077.212871274161</v>
      </c>
      <c r="F25" s="143">
        <f t="shared" si="1"/>
        <v>30038.606435637081</v>
      </c>
      <c r="G25" s="143">
        <f t="shared" si="2"/>
        <v>6893.8601769787101</v>
      </c>
      <c r="H25" s="148">
        <f t="shared" si="3"/>
        <v>97009.679483889951</v>
      </c>
      <c r="J25" s="26">
        <v>21</v>
      </c>
      <c r="K25" s="32">
        <f t="shared" si="6"/>
        <v>3.1502499999999933E-2</v>
      </c>
      <c r="M25" s="26">
        <v>21</v>
      </c>
      <c r="N25" s="32">
        <f t="shared" si="7"/>
        <v>1.0499999999999992E-2</v>
      </c>
    </row>
    <row r="26" spans="1:14" x14ac:dyDescent="0.3">
      <c r="A26" s="158">
        <v>22</v>
      </c>
      <c r="B26" s="158">
        <f t="shared" si="4"/>
        <v>2003</v>
      </c>
      <c r="C26" s="164">
        <f t="shared" si="5"/>
        <v>58832.13530902331</v>
      </c>
      <c r="D26" s="148"/>
      <c r="E26" s="162">
        <f t="shared" si="0"/>
        <v>60659.167271045022</v>
      </c>
      <c r="F26" s="143">
        <f t="shared" si="1"/>
        <v>30329.583635522511</v>
      </c>
      <c r="G26" s="143">
        <f t="shared" si="2"/>
        <v>6960.6394443524159</v>
      </c>
      <c r="H26" s="148">
        <f t="shared" si="3"/>
        <v>97949.390350919944</v>
      </c>
      <c r="J26" s="26">
        <v>22</v>
      </c>
      <c r="K26" s="32">
        <f t="shared" si="6"/>
        <v>3.1054999999999933E-2</v>
      </c>
      <c r="M26" s="26">
        <v>22</v>
      </c>
      <c r="N26" s="32">
        <f t="shared" si="7"/>
        <v>1.0124999999999992E-2</v>
      </c>
    </row>
    <row r="27" spans="1:14" x14ac:dyDescent="0.3">
      <c r="A27" s="158">
        <v>23</v>
      </c>
      <c r="B27" s="158">
        <f t="shared" si="4"/>
        <v>2002</v>
      </c>
      <c r="C27" s="164">
        <f t="shared" si="5"/>
        <v>59405.748628286288</v>
      </c>
      <c r="D27" s="148"/>
      <c r="E27" s="162">
        <f t="shared" si="0"/>
        <v>61224.01007942656</v>
      </c>
      <c r="F27" s="143">
        <f t="shared" si="1"/>
        <v>30612.00503971328</v>
      </c>
      <c r="G27" s="143">
        <f t="shared" si="2"/>
        <v>7025.4551566141972</v>
      </c>
      <c r="H27" s="148">
        <f t="shared" si="3"/>
        <v>98861.470275754036</v>
      </c>
      <c r="J27" s="26">
        <v>23</v>
      </c>
      <c r="K27" s="32">
        <f t="shared" si="6"/>
        <v>3.0607499999999933E-2</v>
      </c>
      <c r="M27" s="26">
        <v>23</v>
      </c>
      <c r="N27" s="32">
        <f t="shared" si="7"/>
        <v>9.7499999999999913E-3</v>
      </c>
    </row>
    <row r="28" spans="1:14" x14ac:dyDescent="0.3">
      <c r="A28" s="158">
        <v>24</v>
      </c>
      <c r="B28" s="158">
        <f t="shared" si="4"/>
        <v>2001</v>
      </c>
      <c r="C28" s="164">
        <f t="shared" si="5"/>
        <v>59962.677521676473</v>
      </c>
      <c r="D28" s="148"/>
      <c r="E28" s="162">
        <f t="shared" si="0"/>
        <v>61771.151875730233</v>
      </c>
      <c r="F28" s="143">
        <f t="shared" si="1"/>
        <v>30885.575937865116</v>
      </c>
      <c r="G28" s="143">
        <f t="shared" si="2"/>
        <v>7088.2396777400445</v>
      </c>
      <c r="H28" s="148">
        <f t="shared" si="3"/>
        <v>99744.967491335396</v>
      </c>
      <c r="J28" s="26">
        <v>24</v>
      </c>
      <c r="K28" s="32">
        <f t="shared" si="6"/>
        <v>3.0159999999999933E-2</v>
      </c>
      <c r="M28" s="26">
        <v>24</v>
      </c>
      <c r="N28" s="32">
        <f t="shared" si="7"/>
        <v>9.374999999999991E-3</v>
      </c>
    </row>
    <row r="29" spans="1:14" s="150" customFormat="1" x14ac:dyDescent="0.3">
      <c r="A29" s="165">
        <v>25</v>
      </c>
      <c r="B29" s="165">
        <f t="shared" si="4"/>
        <v>2000</v>
      </c>
      <c r="C29" s="166">
        <f t="shared" si="5"/>
        <v>60502.34161937156</v>
      </c>
      <c r="D29" s="154"/>
      <c r="E29" s="169">
        <f t="shared" si="0"/>
        <v>62300.017444737132</v>
      </c>
      <c r="F29" s="151">
        <f t="shared" si="1"/>
        <v>31150.008722368566</v>
      </c>
      <c r="G29" s="151">
        <f t="shared" si="2"/>
        <v>7148.9270017835852</v>
      </c>
      <c r="H29" s="154">
        <f t="shared" si="3"/>
        <v>100598.95316888927</v>
      </c>
      <c r="J29" s="150">
        <v>25</v>
      </c>
      <c r="K29" s="157">
        <f t="shared" si="6"/>
        <v>2.9712499999999933E-2</v>
      </c>
      <c r="M29" s="150">
        <v>25</v>
      </c>
      <c r="N29" s="157">
        <f t="shared" si="7"/>
        <v>8.9999999999999906E-3</v>
      </c>
    </row>
    <row r="30" spans="1:14" x14ac:dyDescent="0.3">
      <c r="A30" s="158">
        <v>26</v>
      </c>
      <c r="B30" s="168">
        <f t="shared" si="4"/>
        <v>1999</v>
      </c>
      <c r="C30" s="164">
        <f t="shared" si="5"/>
        <v>61024.174315838638</v>
      </c>
      <c r="D30" s="148"/>
      <c r="E30" s="162">
        <f t="shared" si="0"/>
        <v>62810.046777191652</v>
      </c>
      <c r="F30" s="143">
        <f t="shared" si="1"/>
        <v>31405.023388595826</v>
      </c>
      <c r="G30" s="143">
        <f t="shared" si="2"/>
        <v>7207.4528676827413</v>
      </c>
      <c r="H30" s="148">
        <f t="shared" si="3"/>
        <v>101422.52303347022</v>
      </c>
      <c r="J30" s="26">
        <v>26</v>
      </c>
      <c r="K30" s="32">
        <f t="shared" si="6"/>
        <v>2.9264999999999933E-2</v>
      </c>
      <c r="M30" s="26">
        <v>26</v>
      </c>
      <c r="N30" s="32">
        <f t="shared" si="7"/>
        <v>8.6249999999999903E-3</v>
      </c>
    </row>
    <row r="31" spans="1:14" x14ac:dyDescent="0.3">
      <c r="A31" s="158">
        <v>27</v>
      </c>
      <c r="B31" s="158">
        <f t="shared" si="4"/>
        <v>1998</v>
      </c>
      <c r="C31" s="164">
        <f t="shared" si="5"/>
        <v>61527.623753944303</v>
      </c>
      <c r="D31" s="148"/>
      <c r="E31" s="162">
        <f t="shared" si="0"/>
        <v>63300.696051473591</v>
      </c>
      <c r="F31" s="143">
        <f t="shared" si="1"/>
        <v>31650.348025736796</v>
      </c>
      <c r="G31" s="143">
        <f t="shared" si="2"/>
        <v>7263.7548719065944</v>
      </c>
      <c r="H31" s="148">
        <f t="shared" si="3"/>
        <v>102214.79894911699</v>
      </c>
      <c r="J31" s="26">
        <v>27</v>
      </c>
      <c r="K31" s="32">
        <f t="shared" si="6"/>
        <v>2.8817499999999933E-2</v>
      </c>
      <c r="M31" s="26">
        <v>27</v>
      </c>
      <c r="N31" s="32">
        <f t="shared" si="7"/>
        <v>8.24999999999999E-3</v>
      </c>
    </row>
    <row r="32" spans="1:14" x14ac:dyDescent="0.3">
      <c r="A32" s="158">
        <v>28</v>
      </c>
      <c r="B32" s="158">
        <f t="shared" si="4"/>
        <v>1997</v>
      </c>
      <c r="C32" s="164">
        <f t="shared" si="5"/>
        <v>62012.153791006611</v>
      </c>
      <c r="D32" s="148"/>
      <c r="E32" s="162">
        <f t="shared" si="0"/>
        <v>63771.438594057465</v>
      </c>
      <c r="F32" s="143">
        <f t="shared" si="1"/>
        <v>31885.719297028732</v>
      </c>
      <c r="G32" s="143">
        <f t="shared" si="2"/>
        <v>7317.772578668094</v>
      </c>
      <c r="H32" s="148">
        <f t="shared" si="3"/>
        <v>102974.9304697543</v>
      </c>
      <c r="J32" s="26">
        <v>28</v>
      </c>
      <c r="K32" s="32">
        <f t="shared" si="6"/>
        <v>2.8369999999999933E-2</v>
      </c>
      <c r="M32" s="26">
        <v>28</v>
      </c>
      <c r="N32" s="32">
        <f t="shared" si="7"/>
        <v>7.8749999999999896E-3</v>
      </c>
    </row>
    <row r="33" spans="1:14" x14ac:dyDescent="0.3">
      <c r="A33" s="158">
        <v>29</v>
      </c>
      <c r="B33" s="158">
        <f t="shared" si="4"/>
        <v>1996</v>
      </c>
      <c r="C33" s="164">
        <f t="shared" si="5"/>
        <v>62477.24494443916</v>
      </c>
      <c r="D33" s="148"/>
      <c r="E33" s="162">
        <f t="shared" si="0"/>
        <v>64221.765816400257</v>
      </c>
      <c r="F33" s="143">
        <f t="shared" si="1"/>
        <v>32110.882908200128</v>
      </c>
      <c r="G33" s="143">
        <f t="shared" si="2"/>
        <v>7369.4476274319295</v>
      </c>
      <c r="H33" s="148">
        <f t="shared" si="3"/>
        <v>103702.09635203231</v>
      </c>
      <c r="J33" s="26">
        <v>29</v>
      </c>
      <c r="K33" s="32">
        <f t="shared" si="6"/>
        <v>2.7922499999999933E-2</v>
      </c>
      <c r="M33" s="26">
        <v>29</v>
      </c>
      <c r="N33" s="32">
        <f t="shared" si="7"/>
        <v>7.4999999999999893E-3</v>
      </c>
    </row>
    <row r="34" spans="1:14" s="150" customFormat="1" x14ac:dyDescent="0.3">
      <c r="A34" s="165">
        <v>30</v>
      </c>
      <c r="B34" s="165">
        <f t="shared" si="4"/>
        <v>1995</v>
      </c>
      <c r="C34" s="166">
        <f t="shared" si="5"/>
        <v>62922.395314668291</v>
      </c>
      <c r="D34" s="154"/>
      <c r="E34" s="169">
        <f t="shared" si="0"/>
        <v>64651.188125938796</v>
      </c>
      <c r="F34" s="151">
        <f t="shared" si="1"/>
        <v>32325.594062969398</v>
      </c>
      <c r="G34" s="151">
        <f t="shared" si="2"/>
        <v>7418.7238374514773</v>
      </c>
      <c r="H34" s="154">
        <f t="shared" si="3"/>
        <v>104395.50602635967</v>
      </c>
      <c r="J34" s="150">
        <v>30</v>
      </c>
      <c r="K34" s="157">
        <f t="shared" si="6"/>
        <v>2.7474999999999934E-2</v>
      </c>
      <c r="M34" s="150">
        <v>30</v>
      </c>
      <c r="N34" s="157">
        <f t="shared" si="7"/>
        <v>7.124999999999989E-3</v>
      </c>
    </row>
    <row r="35" spans="1:14" x14ac:dyDescent="0.3">
      <c r="A35" s="158">
        <v>31</v>
      </c>
      <c r="B35" s="168">
        <f t="shared" si="4"/>
        <v>1994</v>
      </c>
      <c r="C35" s="164">
        <f t="shared" si="5"/>
        <v>63347.121483042298</v>
      </c>
      <c r="D35" s="148"/>
      <c r="E35" s="162">
        <f t="shared" si="0"/>
        <v>65059.235808925223</v>
      </c>
      <c r="F35" s="143">
        <f t="shared" si="1"/>
        <v>32529.617904462611</v>
      </c>
      <c r="G35" s="143">
        <f t="shared" si="2"/>
        <v>7465.5473090741689</v>
      </c>
      <c r="H35" s="148">
        <f t="shared" si="3"/>
        <v>105054.401022462</v>
      </c>
      <c r="J35" s="26">
        <v>31</v>
      </c>
      <c r="K35" s="32">
        <f t="shared" si="6"/>
        <v>2.7027499999999934E-2</v>
      </c>
      <c r="M35" s="26">
        <v>31</v>
      </c>
      <c r="N35" s="32">
        <f t="shared" si="7"/>
        <v>6.7499999999999886E-3</v>
      </c>
    </row>
    <row r="36" spans="1:14" x14ac:dyDescent="0.3">
      <c r="A36" s="158">
        <v>32</v>
      </c>
      <c r="B36" s="158">
        <f t="shared" si="4"/>
        <v>1993</v>
      </c>
      <c r="C36" s="164">
        <f t="shared" si="5"/>
        <v>63750.959382496694</v>
      </c>
      <c r="D36" s="148"/>
      <c r="E36" s="162">
        <f t="shared" si="0"/>
        <v>65445.45988288345</v>
      </c>
      <c r="F36" s="143">
        <f t="shared" si="1"/>
        <v>32722.729941441725</v>
      </c>
      <c r="G36" s="143">
        <f t="shared" si="2"/>
        <v>7509.8665215608762</v>
      </c>
      <c r="H36" s="148">
        <f t="shared" si="3"/>
        <v>105678.05634588606</v>
      </c>
      <c r="J36" s="26">
        <v>32</v>
      </c>
      <c r="K36" s="32">
        <f t="shared" si="6"/>
        <v>2.6579999999999934E-2</v>
      </c>
      <c r="M36" s="26">
        <v>32</v>
      </c>
      <c r="N36" s="32">
        <f t="shared" si="7"/>
        <v>6.3749999999999883E-3</v>
      </c>
    </row>
    <row r="37" spans="1:14" x14ac:dyDescent="0.3">
      <c r="A37" s="158">
        <v>33</v>
      </c>
      <c r="B37" s="158">
        <f t="shared" si="4"/>
        <v>1992</v>
      </c>
      <c r="C37" s="164">
        <f t="shared" si="5"/>
        <v>64133.465138791675</v>
      </c>
      <c r="D37" s="148"/>
      <c r="E37" s="162">
        <f t="shared" si="0"/>
        <v>65809.43291653115</v>
      </c>
      <c r="F37" s="143">
        <f t="shared" si="1"/>
        <v>32904.716458265575</v>
      </c>
      <c r="G37" s="143">
        <f t="shared" si="2"/>
        <v>7551.6324271719486</v>
      </c>
      <c r="H37" s="148">
        <f t="shared" si="3"/>
        <v>106265.78180196867</v>
      </c>
      <c r="J37" s="26">
        <v>33</v>
      </c>
      <c r="K37" s="32">
        <f t="shared" si="6"/>
        <v>2.6132499999999934E-2</v>
      </c>
      <c r="M37" s="26">
        <v>33</v>
      </c>
      <c r="N37" s="32">
        <f t="shared" si="7"/>
        <v>5.999999999999988E-3</v>
      </c>
    </row>
    <row r="38" spans="1:14" x14ac:dyDescent="0.3">
      <c r="A38" s="158">
        <v>34</v>
      </c>
      <c r="B38" s="158">
        <f t="shared" si="4"/>
        <v>1991</v>
      </c>
      <c r="C38" s="164">
        <f t="shared" si="5"/>
        <v>64494.215880197378</v>
      </c>
      <c r="D38" s="148"/>
      <c r="E38" s="162">
        <f t="shared" si="0"/>
        <v>66150.749815080242</v>
      </c>
      <c r="F38" s="143">
        <f t="shared" si="1"/>
        <v>33075.374907540121</v>
      </c>
      <c r="G38" s="143">
        <f t="shared" si="2"/>
        <v>7590.7985412804574</v>
      </c>
      <c r="H38" s="148">
        <f t="shared" si="3"/>
        <v>106816.92326390081</v>
      </c>
      <c r="J38" s="26">
        <v>34</v>
      </c>
      <c r="K38" s="32">
        <f t="shared" si="6"/>
        <v>2.5684999999999934E-2</v>
      </c>
      <c r="M38" s="26">
        <v>34</v>
      </c>
      <c r="N38" s="32">
        <f t="shared" si="7"/>
        <v>5.6249999999999876E-3</v>
      </c>
    </row>
    <row r="39" spans="1:14" s="150" customFormat="1" x14ac:dyDescent="0.3">
      <c r="A39" s="165">
        <v>35</v>
      </c>
      <c r="B39" s="165">
        <f t="shared" si="4"/>
        <v>1990</v>
      </c>
      <c r="C39" s="166">
        <f t="shared" si="5"/>
        <v>64832.810513568416</v>
      </c>
      <c r="D39" s="154"/>
      <c r="E39" s="169">
        <f t="shared" si="0"/>
        <v>66469.0285689046</v>
      </c>
      <c r="F39" s="151">
        <f t="shared" si="1"/>
        <v>33234.5142844523</v>
      </c>
      <c r="G39" s="151">
        <f t="shared" si="2"/>
        <v>7627.3210282818018</v>
      </c>
      <c r="H39" s="154">
        <f t="shared" si="3"/>
        <v>107330.8638816387</v>
      </c>
      <c r="J39" s="150">
        <v>35</v>
      </c>
      <c r="K39" s="157">
        <f t="shared" si="6"/>
        <v>2.5237499999999934E-2</v>
      </c>
      <c r="M39" s="150">
        <v>35</v>
      </c>
      <c r="N39" s="157">
        <f t="shared" si="7"/>
        <v>5.2499999999999873E-3</v>
      </c>
    </row>
    <row r="40" spans="1:14" x14ac:dyDescent="0.3">
      <c r="A40" s="158">
        <v>36</v>
      </c>
      <c r="B40" s="168">
        <f t="shared" si="4"/>
        <v>1989</v>
      </c>
      <c r="C40" s="164">
        <f t="shared" si="5"/>
        <v>65148.870464822059</v>
      </c>
      <c r="D40" s="148"/>
      <c r="E40" s="162">
        <f t="shared" si="0"/>
        <v>66763.910963644987</v>
      </c>
      <c r="F40" s="143">
        <f t="shared" si="1"/>
        <v>33381.955481822493</v>
      </c>
      <c r="G40" s="143">
        <f t="shared" si="2"/>
        <v>7661.1587830782628</v>
      </c>
      <c r="H40" s="148">
        <f t="shared" si="3"/>
        <v>107807.02522854575</v>
      </c>
      <c r="J40" s="26">
        <v>36</v>
      </c>
      <c r="K40" s="32">
        <f t="shared" si="6"/>
        <v>2.4789999999999934E-2</v>
      </c>
      <c r="M40" s="26">
        <v>36</v>
      </c>
      <c r="N40" s="32">
        <f t="shared" si="7"/>
        <v>4.874999999999987E-3</v>
      </c>
    </row>
    <row r="41" spans="1:14" x14ac:dyDescent="0.3">
      <c r="A41" s="158">
        <v>37</v>
      </c>
      <c r="B41" s="158">
        <f t="shared" si="4"/>
        <v>1988</v>
      </c>
      <c r="C41" s="164">
        <f t="shared" si="5"/>
        <v>65442.040381913757</v>
      </c>
      <c r="D41" s="148"/>
      <c r="E41" s="162">
        <f t="shared" si="0"/>
        <v>67035.063249910483</v>
      </c>
      <c r="F41" s="143">
        <f t="shared" si="1"/>
        <v>33517.531624955242</v>
      </c>
      <c r="G41" s="143">
        <f t="shared" si="2"/>
        <v>7692.2735079272279</v>
      </c>
      <c r="H41" s="148">
        <f t="shared" si="3"/>
        <v>108244.86838279295</v>
      </c>
      <c r="J41" s="26">
        <v>37</v>
      </c>
      <c r="K41" s="32">
        <f t="shared" si="6"/>
        <v>2.4342499999999934E-2</v>
      </c>
      <c r="M41" s="26">
        <v>37</v>
      </c>
      <c r="N41" s="32">
        <f t="shared" si="7"/>
        <v>4.4999999999999866E-3</v>
      </c>
    </row>
    <row r="42" spans="1:14" x14ac:dyDescent="0.3">
      <c r="A42" s="158">
        <v>38</v>
      </c>
      <c r="B42" s="158">
        <f t="shared" si="4"/>
        <v>1987</v>
      </c>
      <c r="C42" s="164">
        <f t="shared" si="5"/>
        <v>65711.988798489154</v>
      </c>
      <c r="D42" s="148"/>
      <c r="E42" s="162">
        <f t="shared" si="0"/>
        <v>67282.176770829043</v>
      </c>
      <c r="F42" s="143">
        <f t="shared" si="1"/>
        <v>33641.088385414521</v>
      </c>
      <c r="G42" s="143">
        <f t="shared" si="2"/>
        <v>7720.6297844526325</v>
      </c>
      <c r="H42" s="148">
        <f t="shared" si="3"/>
        <v>108643.89494069619</v>
      </c>
      <c r="J42" s="26">
        <v>38</v>
      </c>
      <c r="K42" s="32">
        <f t="shared" si="6"/>
        <v>2.3894999999999934E-2</v>
      </c>
      <c r="M42" s="26">
        <v>38</v>
      </c>
      <c r="N42" s="32">
        <f t="shared" si="7"/>
        <v>4.1249999999999863E-3</v>
      </c>
    </row>
    <row r="43" spans="1:14" x14ac:dyDescent="0.3">
      <c r="A43" s="158">
        <v>39</v>
      </c>
      <c r="B43" s="158">
        <f t="shared" si="4"/>
        <v>1986</v>
      </c>
      <c r="C43" s="164">
        <f t="shared" si="5"/>
        <v>65958.408756483492</v>
      </c>
      <c r="D43" s="148"/>
      <c r="E43" s="162">
        <f t="shared" si="0"/>
        <v>67504.968545801137</v>
      </c>
      <c r="F43" s="143">
        <f t="shared" si="1"/>
        <v>33752.484272900569</v>
      </c>
      <c r="G43" s="143">
        <f t="shared" si="2"/>
        <v>7746.1951406306807</v>
      </c>
      <c r="H43" s="148">
        <f t="shared" si="3"/>
        <v>109003.64795933239</v>
      </c>
      <c r="J43" s="26">
        <v>39</v>
      </c>
      <c r="K43" s="32">
        <f t="shared" si="6"/>
        <v>2.3447499999999934E-2</v>
      </c>
      <c r="M43" s="26">
        <v>39</v>
      </c>
      <c r="N43" s="32">
        <f t="shared" si="7"/>
        <v>3.7499999999999864E-3</v>
      </c>
    </row>
    <row r="44" spans="1:14" s="150" customFormat="1" x14ac:dyDescent="0.3">
      <c r="A44" s="165">
        <v>40</v>
      </c>
      <c r="B44" s="165">
        <f t="shared" si="4"/>
        <v>1985</v>
      </c>
      <c r="C44" s="166">
        <f t="shared" si="5"/>
        <v>66181.018386036623</v>
      </c>
      <c r="D44" s="154"/>
      <c r="E44" s="169">
        <f t="shared" si="0"/>
        <v>67703.181808915455</v>
      </c>
      <c r="F44" s="151">
        <f t="shared" si="1"/>
        <v>33851.590904457727</v>
      </c>
      <c r="G44" s="151">
        <f t="shared" si="2"/>
        <v>7768.9401125730483</v>
      </c>
      <c r="H44" s="154">
        <f t="shared" si="3"/>
        <v>109323.71282594623</v>
      </c>
      <c r="J44" s="150">
        <v>40</v>
      </c>
      <c r="K44" s="157">
        <f t="shared" si="6"/>
        <v>2.2999999999999934E-2</v>
      </c>
      <c r="M44" s="150">
        <v>40</v>
      </c>
      <c r="N44" s="157">
        <f t="shared" si="7"/>
        <v>3.3749999999999865E-3</v>
      </c>
    </row>
    <row r="45" spans="1:14" x14ac:dyDescent="0.3">
      <c r="N45" s="32"/>
    </row>
  </sheetData>
  <sheetProtection algorithmName="SHA-512" hashValue="SjOam9GxzXZ9rw9+sD19MHhHmCzNRV5hir+DZ+iIXQCBBLS99cRMwz7dk6xvWngA00d5vOTmZTSPhzJUlmUBPw==" saltValue="ATU+g7F4TwKvYEVZv6axfg==" spinCount="100000" sheet="1" objects="1" scenarios="1"/>
  <mergeCells count="2">
    <mergeCell ref="K2:P2"/>
    <mergeCell ref="B2:C2"/>
  </mergeCells>
  <pageMargins left="0.7" right="0.7" top="0.75" bottom="0.75" header="0.3" footer="0.3"/>
  <pageSetup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1C3B-593B-48FF-B7C7-0005901EABD1}">
  <dimension ref="A2:U45"/>
  <sheetViews>
    <sheetView zoomScaleNormal="100" workbookViewId="0">
      <selection activeCell="C1" sqref="C1:E1048576"/>
    </sheetView>
  </sheetViews>
  <sheetFormatPr defaultColWidth="12.1796875" defaultRowHeight="13" x14ac:dyDescent="0.3"/>
  <cols>
    <col min="1" max="1" width="8.81640625" style="26" customWidth="1"/>
    <col min="2" max="2" width="9.1796875" style="26" customWidth="1"/>
    <col min="3" max="3" width="8.54296875" style="26" customWidth="1"/>
    <col min="4" max="4" width="8.1796875" style="26" hidden="1" customWidth="1"/>
    <col min="5" max="5" width="9.453125" style="26" customWidth="1"/>
    <col min="6" max="6" width="10.1796875" style="26" hidden="1" customWidth="1"/>
    <col min="7" max="7" width="2.81640625" style="26" customWidth="1"/>
    <col min="8" max="8" width="10.7265625" style="26" hidden="1" customWidth="1"/>
    <col min="9" max="9" width="10.54296875" style="26" hidden="1" customWidth="1"/>
    <col min="10" max="10" width="12.1796875" style="26" hidden="1" customWidth="1"/>
    <col min="11" max="11" width="2.81640625" style="26" hidden="1" customWidth="1"/>
    <col min="12" max="12" width="9.7265625" style="26" hidden="1" customWidth="1"/>
    <col min="13" max="13" width="10.1796875" style="26" hidden="1" customWidth="1"/>
    <col min="14" max="14" width="13" style="26" hidden="1" customWidth="1"/>
    <col min="15" max="15" width="12.1796875" style="26"/>
    <col min="16" max="16" width="5.54296875" style="26" customWidth="1"/>
    <col min="17" max="17" width="8.7265625" style="26" customWidth="1"/>
    <col min="18" max="18" width="12.453125" style="26" customWidth="1"/>
    <col min="19" max="19" width="5.453125" style="26" customWidth="1"/>
    <col min="20" max="20" width="8.81640625" style="26" customWidth="1"/>
    <col min="21" max="21" width="12.453125" style="26" customWidth="1"/>
    <col min="22" max="16384" width="12.1796875" style="26"/>
  </cols>
  <sheetData>
    <row r="2" spans="1:21" ht="30.65" customHeight="1" x14ac:dyDescent="0.3">
      <c r="B2" s="310" t="s">
        <v>40</v>
      </c>
      <c r="C2" s="310"/>
      <c r="D2" s="138"/>
      <c r="E2" s="139">
        <v>0.05</v>
      </c>
      <c r="F2" s="138"/>
      <c r="G2" s="311" t="s">
        <v>74</v>
      </c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</row>
    <row r="3" spans="1:21" s="140" customFormat="1" ht="39" x14ac:dyDescent="0.3">
      <c r="A3" s="140" t="s">
        <v>41</v>
      </c>
      <c r="B3" s="140" t="s">
        <v>42</v>
      </c>
      <c r="C3" s="140" t="s">
        <v>43</v>
      </c>
      <c r="D3" s="140" t="s">
        <v>44</v>
      </c>
      <c r="E3" s="140" t="s">
        <v>45</v>
      </c>
      <c r="F3" s="140" t="s">
        <v>46</v>
      </c>
      <c r="H3" s="140" t="s">
        <v>75</v>
      </c>
      <c r="I3" s="140" t="s">
        <v>76</v>
      </c>
      <c r="J3" s="140" t="s">
        <v>77</v>
      </c>
      <c r="L3" s="140" t="s">
        <v>78</v>
      </c>
      <c r="M3" s="140" t="s">
        <v>79</v>
      </c>
      <c r="N3" s="140" t="s">
        <v>80</v>
      </c>
      <c r="P3" s="26" t="s">
        <v>47</v>
      </c>
      <c r="Q3" s="141" t="s">
        <v>81</v>
      </c>
      <c r="R3" s="26" t="s">
        <v>48</v>
      </c>
      <c r="S3" s="140" t="s">
        <v>47</v>
      </c>
      <c r="T3" s="140" t="s">
        <v>82</v>
      </c>
      <c r="U3" s="140" t="s">
        <v>49</v>
      </c>
    </row>
    <row r="4" spans="1:21" x14ac:dyDescent="0.3">
      <c r="A4" s="26" t="s">
        <v>50</v>
      </c>
      <c r="B4" s="26">
        <v>2024</v>
      </c>
      <c r="C4" s="142">
        <v>41212</v>
      </c>
      <c r="D4" s="143"/>
      <c r="E4" s="144">
        <f t="shared" ref="E4:E44" si="0">SUM(C4*Q4)+C4</f>
        <v>42897.570800000001</v>
      </c>
      <c r="F4" s="31">
        <f t="shared" ref="F4:F44" si="1">SUM(E4-C4)/C4</f>
        <v>4.0900000000000034E-2</v>
      </c>
      <c r="G4" s="31"/>
      <c r="H4" s="143">
        <f t="shared" ref="H4:H44" si="2">SUM(C4*0.5)</f>
        <v>20606</v>
      </c>
      <c r="I4" s="143">
        <f>SUM(C4+H4)*0.0765</f>
        <v>4729.0770000000002</v>
      </c>
      <c r="J4" s="145">
        <f t="shared" ref="J4:J44" si="3">SUM(C4+H4+I4)</f>
        <v>66547.077000000005</v>
      </c>
      <c r="K4" s="146"/>
      <c r="L4" s="143">
        <f t="shared" ref="L4:L44" si="4">SUM(E4*0.5)</f>
        <v>21448.785400000001</v>
      </c>
      <c r="M4" s="143">
        <f>SUM(E4+L4)*0.0765</f>
        <v>4922.4962493000003</v>
      </c>
      <c r="N4" s="147">
        <f t="shared" ref="N4:N44" si="5">SUM(E4+L4+M4)</f>
        <v>69268.8524493</v>
      </c>
      <c r="P4" s="26">
        <v>0</v>
      </c>
      <c r="Q4" s="32">
        <v>4.0899999999999999E-2</v>
      </c>
      <c r="R4" s="34">
        <f>((0.0409-0.023)/40)</f>
        <v>4.4749999999999998E-4</v>
      </c>
      <c r="S4" s="26">
        <v>0</v>
      </c>
      <c r="T4" s="32">
        <v>0</v>
      </c>
      <c r="U4" s="34"/>
    </row>
    <row r="5" spans="1:21" x14ac:dyDescent="0.3">
      <c r="A5" s="26">
        <v>1</v>
      </c>
      <c r="B5" s="26">
        <f t="shared" ref="B5:B44" si="6">B4-1</f>
        <v>2023</v>
      </c>
      <c r="C5" s="143">
        <f t="shared" ref="C5:C44" si="7">SUM(C4*T5)+C4</f>
        <v>41953.815999999999</v>
      </c>
      <c r="D5" s="31">
        <f t="shared" ref="D5:D44" si="8">SUM(C5-C4)/C4</f>
        <v>1.7999999999999974E-2</v>
      </c>
      <c r="E5" s="143">
        <f t="shared" si="0"/>
        <v>43650.952741740002</v>
      </c>
      <c r="F5" s="31">
        <f t="shared" si="1"/>
        <v>4.0452500000000079E-2</v>
      </c>
      <c r="G5" s="31"/>
      <c r="H5" s="143">
        <f t="shared" si="2"/>
        <v>20976.907999999999</v>
      </c>
      <c r="I5" s="143">
        <f t="shared" ref="I5:I44" si="9">SUM(C5+H5)*0.0765</f>
        <v>4814.2003860000004</v>
      </c>
      <c r="J5" s="148">
        <f t="shared" si="3"/>
        <v>67744.924385999999</v>
      </c>
      <c r="K5" s="148"/>
      <c r="L5" s="143">
        <f t="shared" si="4"/>
        <v>21825.476370870001</v>
      </c>
      <c r="M5" s="143">
        <f t="shared" ref="M5:M44" si="10">SUM(E5+L5)*0.0765</f>
        <v>5008.9468271146652</v>
      </c>
      <c r="N5" s="148">
        <f t="shared" si="5"/>
        <v>70485.375939724661</v>
      </c>
      <c r="P5" s="26">
        <v>1</v>
      </c>
      <c r="Q5" s="32">
        <f t="shared" ref="Q5:Q44" si="11">Q4-$R$4</f>
        <v>4.0452500000000002E-2</v>
      </c>
      <c r="R5" s="149"/>
      <c r="S5" s="26">
        <v>1</v>
      </c>
      <c r="T5" s="32">
        <v>1.7999999999999999E-2</v>
      </c>
      <c r="U5" s="34">
        <f>((0.02-0.005)/40)</f>
        <v>3.7500000000000001E-4</v>
      </c>
    </row>
    <row r="6" spans="1:21" x14ac:dyDescent="0.3">
      <c r="A6" s="26">
        <v>2</v>
      </c>
      <c r="B6" s="26">
        <f t="shared" si="6"/>
        <v>2022</v>
      </c>
      <c r="C6" s="143">
        <f t="shared" si="7"/>
        <v>42693.252006999996</v>
      </c>
      <c r="D6" s="31">
        <f t="shared" si="8"/>
        <v>1.7624999999999919E-2</v>
      </c>
      <c r="E6" s="143">
        <f t="shared" si="0"/>
        <v>44401.195553540034</v>
      </c>
      <c r="F6" s="31">
        <f t="shared" si="1"/>
        <v>4.0005000000000082E-2</v>
      </c>
      <c r="G6" s="31"/>
      <c r="H6" s="143">
        <f t="shared" si="2"/>
        <v>21346.626003499998</v>
      </c>
      <c r="I6" s="143">
        <f t="shared" si="9"/>
        <v>4899.0506678032489</v>
      </c>
      <c r="J6" s="148">
        <f t="shared" si="3"/>
        <v>68938.928678303244</v>
      </c>
      <c r="K6" s="148"/>
      <c r="L6" s="143">
        <f t="shared" si="4"/>
        <v>22200.597776770017</v>
      </c>
      <c r="M6" s="143">
        <f t="shared" si="10"/>
        <v>5095.0371897687191</v>
      </c>
      <c r="N6" s="148">
        <f t="shared" si="5"/>
        <v>71696.830520078773</v>
      </c>
      <c r="P6" s="26">
        <v>2</v>
      </c>
      <c r="Q6" s="32">
        <f t="shared" si="11"/>
        <v>4.0004999999999999E-2</v>
      </c>
      <c r="S6" s="26">
        <v>2</v>
      </c>
      <c r="T6" s="32">
        <f t="shared" ref="T6:T44" si="12">T5-$U$5</f>
        <v>1.7624999999999998E-2</v>
      </c>
    </row>
    <row r="7" spans="1:21" x14ac:dyDescent="0.3">
      <c r="A7" s="26">
        <v>3</v>
      </c>
      <c r="B7" s="26">
        <f t="shared" si="6"/>
        <v>2021</v>
      </c>
      <c r="C7" s="143">
        <f t="shared" si="7"/>
        <v>43429.710604120744</v>
      </c>
      <c r="D7" s="31">
        <f t="shared" si="8"/>
        <v>1.7249999999999977E-2</v>
      </c>
      <c r="E7" s="143">
        <f t="shared" si="0"/>
        <v>45147.681381343253</v>
      </c>
      <c r="F7" s="31">
        <f t="shared" si="1"/>
        <v>3.9557500000000044E-2</v>
      </c>
      <c r="G7" s="31"/>
      <c r="H7" s="143">
        <f t="shared" si="2"/>
        <v>21714.855302060372</v>
      </c>
      <c r="I7" s="143">
        <f t="shared" si="9"/>
        <v>4983.5592918228549</v>
      </c>
      <c r="J7" s="148">
        <f t="shared" si="3"/>
        <v>70128.125198003967</v>
      </c>
      <c r="K7" s="148"/>
      <c r="L7" s="143">
        <f t="shared" si="4"/>
        <v>22573.840690671626</v>
      </c>
      <c r="M7" s="143">
        <f t="shared" si="10"/>
        <v>5180.6964385091378</v>
      </c>
      <c r="N7" s="148">
        <f t="shared" si="5"/>
        <v>72902.218510524021</v>
      </c>
      <c r="P7" s="26">
        <v>3</v>
      </c>
      <c r="Q7" s="32">
        <f t="shared" si="11"/>
        <v>3.9557499999999995E-2</v>
      </c>
      <c r="S7" s="26">
        <v>3</v>
      </c>
      <c r="T7" s="32">
        <f t="shared" si="12"/>
        <v>1.7249999999999998E-2</v>
      </c>
    </row>
    <row r="8" spans="1:21" x14ac:dyDescent="0.3">
      <c r="A8" s="26">
        <v>4</v>
      </c>
      <c r="B8" s="26">
        <f t="shared" si="6"/>
        <v>2020</v>
      </c>
      <c r="C8" s="143">
        <f t="shared" si="7"/>
        <v>44162.58697056528</v>
      </c>
      <c r="D8" s="31">
        <f t="shared" si="8"/>
        <v>1.6874999999999963E-2</v>
      </c>
      <c r="E8" s="143">
        <f t="shared" si="0"/>
        <v>45889.785746984089</v>
      </c>
      <c r="F8" s="31">
        <f t="shared" si="1"/>
        <v>3.911000000000002E-2</v>
      </c>
      <c r="G8" s="31"/>
      <c r="H8" s="143">
        <f t="shared" si="2"/>
        <v>22081.29348528264</v>
      </c>
      <c r="I8" s="143">
        <f t="shared" si="9"/>
        <v>5067.6568548723653</v>
      </c>
      <c r="J8" s="148">
        <f t="shared" si="3"/>
        <v>71311.537310720276</v>
      </c>
      <c r="K8" s="148"/>
      <c r="L8" s="143">
        <f t="shared" si="4"/>
        <v>22944.892873492045</v>
      </c>
      <c r="M8" s="143">
        <f t="shared" si="10"/>
        <v>5265.8529144664235</v>
      </c>
      <c r="N8" s="148">
        <f t="shared" si="5"/>
        <v>74100.531534942551</v>
      </c>
      <c r="P8" s="26">
        <v>4</v>
      </c>
      <c r="Q8" s="32">
        <f t="shared" si="11"/>
        <v>3.9109999999999992E-2</v>
      </c>
      <c r="S8" s="26">
        <v>4</v>
      </c>
      <c r="T8" s="32">
        <f t="shared" si="12"/>
        <v>1.6874999999999998E-2</v>
      </c>
    </row>
    <row r="9" spans="1:21" s="155" customFormat="1" x14ac:dyDescent="0.3">
      <c r="A9" s="150">
        <v>5</v>
      </c>
      <c r="B9" s="150">
        <f t="shared" si="6"/>
        <v>2019</v>
      </c>
      <c r="C9" s="151">
        <f t="shared" si="7"/>
        <v>44891.269655579606</v>
      </c>
      <c r="D9" s="152">
        <f t="shared" si="8"/>
        <v>1.6499999999999976E-2</v>
      </c>
      <c r="E9" s="151">
        <f t="shared" si="0"/>
        <v>46626.878368638456</v>
      </c>
      <c r="F9" s="152">
        <f t="shared" si="1"/>
        <v>3.8662500000000065E-2</v>
      </c>
      <c r="G9" s="152"/>
      <c r="H9" s="151">
        <f t="shared" si="2"/>
        <v>22445.634827789803</v>
      </c>
      <c r="I9" s="153">
        <f t="shared" si="9"/>
        <v>5151.2731929777592</v>
      </c>
      <c r="J9" s="154">
        <f t="shared" si="3"/>
        <v>72488.177676347172</v>
      </c>
      <c r="K9" s="154"/>
      <c r="L9" s="151">
        <f t="shared" si="4"/>
        <v>23313.439184319228</v>
      </c>
      <c r="M9" s="153">
        <f t="shared" si="10"/>
        <v>5350.4342928012629</v>
      </c>
      <c r="N9" s="154">
        <f t="shared" si="5"/>
        <v>75290.751845758947</v>
      </c>
      <c r="P9" s="155">
        <v>5</v>
      </c>
      <c r="Q9" s="156">
        <f t="shared" si="11"/>
        <v>3.8662499999999989E-2</v>
      </c>
      <c r="S9" s="155">
        <v>5</v>
      </c>
      <c r="T9" s="156">
        <f t="shared" si="12"/>
        <v>1.6499999999999997E-2</v>
      </c>
    </row>
    <row r="10" spans="1:21" x14ac:dyDescent="0.3">
      <c r="A10" s="26">
        <v>6</v>
      </c>
      <c r="B10" s="39">
        <f t="shared" si="6"/>
        <v>2018</v>
      </c>
      <c r="C10" s="143">
        <f t="shared" si="7"/>
        <v>45615.141378775828</v>
      </c>
      <c r="D10" s="31">
        <f t="shared" si="8"/>
        <v>1.6125000000000014E-2</v>
      </c>
      <c r="E10" s="143">
        <f t="shared" si="0"/>
        <v>47358.324006565745</v>
      </c>
      <c r="F10" s="31">
        <f t="shared" si="1"/>
        <v>3.8214999999999957E-2</v>
      </c>
      <c r="G10" s="31"/>
      <c r="H10" s="143">
        <f t="shared" si="2"/>
        <v>22807.570689387914</v>
      </c>
      <c r="I10" s="143">
        <f t="shared" si="9"/>
        <v>5234.3374732145267</v>
      </c>
      <c r="J10" s="148">
        <f t="shared" si="3"/>
        <v>73657.049541378277</v>
      </c>
      <c r="K10" s="148"/>
      <c r="L10" s="143">
        <f t="shared" si="4"/>
        <v>23679.162003282872</v>
      </c>
      <c r="M10" s="143">
        <f t="shared" si="10"/>
        <v>5434.3676797534199</v>
      </c>
      <c r="N10" s="148">
        <f t="shared" si="5"/>
        <v>76471.853689602038</v>
      </c>
      <c r="P10" s="26">
        <v>6</v>
      </c>
      <c r="Q10" s="32">
        <f t="shared" si="11"/>
        <v>3.8214999999999985E-2</v>
      </c>
      <c r="S10" s="26">
        <v>6</v>
      </c>
      <c r="T10" s="32">
        <f t="shared" si="12"/>
        <v>1.6124999999999997E-2</v>
      </c>
    </row>
    <row r="11" spans="1:21" x14ac:dyDescent="0.3">
      <c r="A11" s="26">
        <v>7</v>
      </c>
      <c r="B11" s="26">
        <f t="shared" si="6"/>
        <v>2017</v>
      </c>
      <c r="C11" s="143">
        <f t="shared" si="7"/>
        <v>46333.579855491545</v>
      </c>
      <c r="D11" s="31">
        <f t="shared" si="8"/>
        <v>1.5749999999999952E-2</v>
      </c>
      <c r="E11" s="143">
        <f t="shared" si="0"/>
        <v>48083.48333268382</v>
      </c>
      <c r="F11" s="31">
        <f t="shared" si="1"/>
        <v>3.776749999999994E-2</v>
      </c>
      <c r="G11" s="31"/>
      <c r="H11" s="143">
        <f t="shared" si="2"/>
        <v>23166.789927745773</v>
      </c>
      <c r="I11" s="143">
        <f t="shared" si="9"/>
        <v>5316.778288417654</v>
      </c>
      <c r="J11" s="148">
        <f t="shared" si="3"/>
        <v>74817.14807165497</v>
      </c>
      <c r="K11" s="148"/>
      <c r="L11" s="143">
        <f t="shared" si="4"/>
        <v>24041.74166634191</v>
      </c>
      <c r="M11" s="143">
        <f t="shared" si="10"/>
        <v>5517.5797124254677</v>
      </c>
      <c r="N11" s="148">
        <f t="shared" si="5"/>
        <v>77642.804711451201</v>
      </c>
      <c r="P11" s="26">
        <v>7</v>
      </c>
      <c r="Q11" s="32">
        <f t="shared" si="11"/>
        <v>3.7767499999999982E-2</v>
      </c>
      <c r="S11" s="26">
        <v>7</v>
      </c>
      <c r="T11" s="32">
        <f t="shared" si="12"/>
        <v>1.5749999999999997E-2</v>
      </c>
    </row>
    <row r="12" spans="1:21" x14ac:dyDescent="0.3">
      <c r="A12" s="26">
        <v>8</v>
      </c>
      <c r="B12" s="26">
        <f t="shared" si="6"/>
        <v>2016</v>
      </c>
      <c r="C12" s="143">
        <f t="shared" si="7"/>
        <v>47045.95864576973</v>
      </c>
      <c r="D12" s="31">
        <f t="shared" si="8"/>
        <v>1.5375000000000036E-2</v>
      </c>
      <c r="E12" s="143">
        <f t="shared" si="0"/>
        <v>48801.713822429854</v>
      </c>
      <c r="F12" s="31">
        <f t="shared" si="1"/>
        <v>3.7319999999999964E-2</v>
      </c>
      <c r="G12" s="31"/>
      <c r="H12" s="143">
        <f t="shared" si="2"/>
        <v>23522.979322884865</v>
      </c>
      <c r="I12" s="143">
        <f t="shared" si="9"/>
        <v>5398.5237546020762</v>
      </c>
      <c r="J12" s="148">
        <f t="shared" si="3"/>
        <v>75967.461723256667</v>
      </c>
      <c r="K12" s="148"/>
      <c r="L12" s="143">
        <f t="shared" si="4"/>
        <v>24400.856911214927</v>
      </c>
      <c r="M12" s="143">
        <f t="shared" si="10"/>
        <v>5599.996661123826</v>
      </c>
      <c r="N12" s="148">
        <f t="shared" si="5"/>
        <v>78802.567394768601</v>
      </c>
      <c r="P12" s="26">
        <v>8</v>
      </c>
      <c r="Q12" s="32">
        <f t="shared" si="11"/>
        <v>3.7319999999999978E-2</v>
      </c>
      <c r="S12" s="26">
        <v>8</v>
      </c>
      <c r="T12" s="32">
        <f t="shared" si="12"/>
        <v>1.5374999999999996E-2</v>
      </c>
    </row>
    <row r="13" spans="1:21" x14ac:dyDescent="0.3">
      <c r="A13" s="26">
        <v>9</v>
      </c>
      <c r="B13" s="26">
        <f t="shared" si="6"/>
        <v>2015</v>
      </c>
      <c r="C13" s="143">
        <f t="shared" si="7"/>
        <v>47751.648025456278</v>
      </c>
      <c r="D13" s="31">
        <f t="shared" si="8"/>
        <v>1.5000000000000041E-2</v>
      </c>
      <c r="E13" s="143">
        <f t="shared" si="0"/>
        <v>49512.37066727491</v>
      </c>
      <c r="F13" s="31">
        <f t="shared" si="1"/>
        <v>3.6872499999999919E-2</v>
      </c>
      <c r="G13" s="31"/>
      <c r="H13" s="143">
        <f t="shared" si="2"/>
        <v>23875.824012728139</v>
      </c>
      <c r="I13" s="143">
        <f t="shared" si="9"/>
        <v>5479.5016109211074</v>
      </c>
      <c r="J13" s="148">
        <f t="shared" si="3"/>
        <v>77106.973649105523</v>
      </c>
      <c r="K13" s="148"/>
      <c r="L13" s="143">
        <f t="shared" si="4"/>
        <v>24756.185333637455</v>
      </c>
      <c r="M13" s="143">
        <f t="shared" si="10"/>
        <v>5681.5445340697952</v>
      </c>
      <c r="N13" s="148">
        <f t="shared" si="5"/>
        <v>79950.10053498215</v>
      </c>
      <c r="P13" s="26">
        <v>9</v>
      </c>
      <c r="Q13" s="32">
        <f t="shared" si="11"/>
        <v>3.6872499999999975E-2</v>
      </c>
      <c r="S13" s="26">
        <v>9</v>
      </c>
      <c r="T13" s="32">
        <f t="shared" si="12"/>
        <v>1.4999999999999996E-2</v>
      </c>
    </row>
    <row r="14" spans="1:21" s="150" customFormat="1" x14ac:dyDescent="0.3">
      <c r="A14" s="150">
        <v>10</v>
      </c>
      <c r="B14" s="150">
        <f t="shared" si="6"/>
        <v>2014</v>
      </c>
      <c r="C14" s="151">
        <f t="shared" si="7"/>
        <v>48450.015877828577</v>
      </c>
      <c r="D14" s="152">
        <f t="shared" si="8"/>
        <v>1.4625000000000025E-2</v>
      </c>
      <c r="E14" s="151">
        <f t="shared" si="0"/>
        <v>50214.807706178479</v>
      </c>
      <c r="F14" s="152">
        <f t="shared" si="1"/>
        <v>3.6424999999999923E-2</v>
      </c>
      <c r="G14" s="152"/>
      <c r="H14" s="151">
        <f t="shared" si="2"/>
        <v>24225.007938914288</v>
      </c>
      <c r="I14" s="151">
        <f t="shared" si="9"/>
        <v>5559.6393219808288</v>
      </c>
      <c r="J14" s="154">
        <f t="shared" si="3"/>
        <v>78234.663138723685</v>
      </c>
      <c r="K14" s="154"/>
      <c r="L14" s="151">
        <f t="shared" si="4"/>
        <v>25107.403853089239</v>
      </c>
      <c r="M14" s="151">
        <f t="shared" si="10"/>
        <v>5762.1491842839805</v>
      </c>
      <c r="N14" s="154">
        <f t="shared" si="5"/>
        <v>81084.36074355169</v>
      </c>
      <c r="P14" s="150">
        <v>10</v>
      </c>
      <c r="Q14" s="157">
        <f t="shared" si="11"/>
        <v>3.6424999999999971E-2</v>
      </c>
      <c r="S14" s="150">
        <v>10</v>
      </c>
      <c r="T14" s="157">
        <f t="shared" si="12"/>
        <v>1.4624999999999996E-2</v>
      </c>
    </row>
    <row r="15" spans="1:21" x14ac:dyDescent="0.3">
      <c r="A15" s="26">
        <v>11</v>
      </c>
      <c r="B15" s="39">
        <f t="shared" si="6"/>
        <v>2013</v>
      </c>
      <c r="C15" s="143">
        <f t="shared" si="7"/>
        <v>49140.428604087632</v>
      </c>
      <c r="D15" s="31">
        <f t="shared" si="8"/>
        <v>1.4249999999999964E-2</v>
      </c>
      <c r="E15" s="143">
        <f t="shared" si="0"/>
        <v>50908.37837419119</v>
      </c>
      <c r="F15" s="31">
        <f t="shared" si="1"/>
        <v>3.5977499999999898E-2</v>
      </c>
      <c r="G15" s="31"/>
      <c r="H15" s="143">
        <f t="shared" si="2"/>
        <v>24570.214302043816</v>
      </c>
      <c r="I15" s="143">
        <f t="shared" si="9"/>
        <v>5638.8641823190565</v>
      </c>
      <c r="J15" s="148">
        <f t="shared" si="3"/>
        <v>79349.507088450511</v>
      </c>
      <c r="K15" s="148"/>
      <c r="L15" s="143">
        <f t="shared" si="4"/>
        <v>25454.189187095595</v>
      </c>
      <c r="M15" s="143">
        <f t="shared" si="10"/>
        <v>5841.7364184384396</v>
      </c>
      <c r="N15" s="148">
        <f t="shared" si="5"/>
        <v>82204.303979725228</v>
      </c>
      <c r="P15" s="26">
        <v>11</v>
      </c>
      <c r="Q15" s="32">
        <f t="shared" si="11"/>
        <v>3.5977499999999968E-2</v>
      </c>
      <c r="S15" s="26">
        <v>11</v>
      </c>
      <c r="T15" s="32">
        <f t="shared" si="12"/>
        <v>1.4249999999999995E-2</v>
      </c>
    </row>
    <row r="16" spans="1:21" x14ac:dyDescent="0.3">
      <c r="A16" s="26">
        <v>12</v>
      </c>
      <c r="B16" s="26">
        <f t="shared" si="6"/>
        <v>2012</v>
      </c>
      <c r="C16" s="143">
        <f t="shared" si="7"/>
        <v>49822.25205096935</v>
      </c>
      <c r="D16" s="31">
        <f t="shared" si="8"/>
        <v>1.3875000000000028E-2</v>
      </c>
      <c r="E16" s="143">
        <f t="shared" si="0"/>
        <v>51592.436666340291</v>
      </c>
      <c r="F16" s="31">
        <f t="shared" si="1"/>
        <v>3.5530000000000006E-2</v>
      </c>
      <c r="G16" s="31"/>
      <c r="H16" s="143">
        <f t="shared" si="2"/>
        <v>24911.126025484675</v>
      </c>
      <c r="I16" s="143">
        <f t="shared" si="9"/>
        <v>5717.1034228487333</v>
      </c>
      <c r="J16" s="148">
        <f t="shared" si="3"/>
        <v>80450.481499302754</v>
      </c>
      <c r="K16" s="148"/>
      <c r="L16" s="143">
        <f t="shared" si="4"/>
        <v>25796.218333170145</v>
      </c>
      <c r="M16" s="143">
        <f t="shared" si="10"/>
        <v>5920.2321074625488</v>
      </c>
      <c r="N16" s="148">
        <f t="shared" si="5"/>
        <v>83308.887106972994</v>
      </c>
      <c r="P16" s="26">
        <v>12</v>
      </c>
      <c r="Q16" s="32">
        <f t="shared" si="11"/>
        <v>3.5529999999999964E-2</v>
      </c>
      <c r="S16" s="26">
        <v>12</v>
      </c>
      <c r="T16" s="32">
        <f t="shared" si="12"/>
        <v>1.3874999999999995E-2</v>
      </c>
    </row>
    <row r="17" spans="1:20" x14ac:dyDescent="0.3">
      <c r="A17" s="26">
        <v>13</v>
      </c>
      <c r="B17" s="26">
        <f t="shared" si="6"/>
        <v>2011</v>
      </c>
      <c r="C17" s="143">
        <f t="shared" si="7"/>
        <v>50494.852453657433</v>
      </c>
      <c r="D17" s="31">
        <f t="shared" si="8"/>
        <v>1.349999999999995E-2</v>
      </c>
      <c r="E17" s="143">
        <f t="shared" si="0"/>
        <v>52266.338114862869</v>
      </c>
      <c r="F17" s="31">
        <f t="shared" si="1"/>
        <v>3.5082499999999975E-2</v>
      </c>
      <c r="G17" s="31"/>
      <c r="H17" s="143">
        <f t="shared" si="2"/>
        <v>25247.426226828717</v>
      </c>
      <c r="I17" s="143">
        <f t="shared" si="9"/>
        <v>5794.2843190571903</v>
      </c>
      <c r="J17" s="148">
        <f t="shared" si="3"/>
        <v>81536.562999543341</v>
      </c>
      <c r="K17" s="148"/>
      <c r="L17" s="143">
        <f t="shared" si="4"/>
        <v>26133.169057431434</v>
      </c>
      <c r="M17" s="143">
        <f t="shared" si="10"/>
        <v>5997.5622986805147</v>
      </c>
      <c r="N17" s="148">
        <f t="shared" si="5"/>
        <v>84397.06947097482</v>
      </c>
      <c r="P17" s="26">
        <v>13</v>
      </c>
      <c r="Q17" s="32">
        <f t="shared" si="11"/>
        <v>3.5082499999999961E-2</v>
      </c>
      <c r="S17" s="26">
        <v>13</v>
      </c>
      <c r="T17" s="32">
        <f t="shared" si="12"/>
        <v>1.3499999999999995E-2</v>
      </c>
    </row>
    <row r="18" spans="1:20" x14ac:dyDescent="0.3">
      <c r="A18" s="26">
        <v>14</v>
      </c>
      <c r="B18" s="26">
        <f t="shared" si="6"/>
        <v>2010</v>
      </c>
      <c r="C18" s="143">
        <f t="shared" si="7"/>
        <v>51157.597392111689</v>
      </c>
      <c r="D18" s="31">
        <f t="shared" si="8"/>
        <v>1.3125000000000045E-2</v>
      </c>
      <c r="E18" s="143">
        <f t="shared" si="0"/>
        <v>52929.440777787473</v>
      </c>
      <c r="F18" s="31">
        <f t="shared" si="1"/>
        <v>3.4634999999999909E-2</v>
      </c>
      <c r="G18" s="31"/>
      <c r="H18" s="143">
        <f t="shared" si="2"/>
        <v>25578.798696055845</v>
      </c>
      <c r="I18" s="143">
        <f t="shared" si="9"/>
        <v>5870.3343007448157</v>
      </c>
      <c r="J18" s="148">
        <f t="shared" si="3"/>
        <v>82606.730388912343</v>
      </c>
      <c r="K18" s="148"/>
      <c r="L18" s="143">
        <f t="shared" si="4"/>
        <v>26464.720388893737</v>
      </c>
      <c r="M18" s="143">
        <f t="shared" si="10"/>
        <v>6073.6533292511122</v>
      </c>
      <c r="N18" s="148">
        <f t="shared" si="5"/>
        <v>85467.814495932325</v>
      </c>
      <c r="P18" s="26">
        <v>14</v>
      </c>
      <c r="Q18" s="32">
        <f t="shared" si="11"/>
        <v>3.4634999999999957E-2</v>
      </c>
      <c r="S18" s="26">
        <v>14</v>
      </c>
      <c r="T18" s="32">
        <f t="shared" si="12"/>
        <v>1.3124999999999994E-2</v>
      </c>
    </row>
    <row r="19" spans="1:20" s="150" customFormat="1" x14ac:dyDescent="0.3">
      <c r="A19" s="150">
        <v>15</v>
      </c>
      <c r="B19" s="150">
        <f t="shared" si="6"/>
        <v>2009</v>
      </c>
      <c r="C19" s="151">
        <f t="shared" si="7"/>
        <v>51809.856758861111</v>
      </c>
      <c r="D19" s="152">
        <f t="shared" si="8"/>
        <v>1.2749999999999961E-2</v>
      </c>
      <c r="E19" s="151">
        <f t="shared" si="0"/>
        <v>53581.10623680467</v>
      </c>
      <c r="F19" s="152">
        <f t="shared" si="1"/>
        <v>3.4187499999999885E-2</v>
      </c>
      <c r="G19" s="152"/>
      <c r="H19" s="151">
        <f t="shared" si="2"/>
        <v>25904.928379430556</v>
      </c>
      <c r="I19" s="151">
        <f t="shared" si="9"/>
        <v>5945.1810630793125</v>
      </c>
      <c r="J19" s="154">
        <f t="shared" si="3"/>
        <v>83659.966201370989</v>
      </c>
      <c r="K19" s="154"/>
      <c r="L19" s="151">
        <f t="shared" si="4"/>
        <v>26790.553118402335</v>
      </c>
      <c r="M19" s="151">
        <f t="shared" si="10"/>
        <v>6148.4319406733348</v>
      </c>
      <c r="N19" s="154">
        <f t="shared" si="5"/>
        <v>86520.091295880338</v>
      </c>
      <c r="P19" s="150">
        <v>15</v>
      </c>
      <c r="Q19" s="157">
        <f t="shared" si="11"/>
        <v>3.4187499999999954E-2</v>
      </c>
      <c r="S19" s="150">
        <v>15</v>
      </c>
      <c r="T19" s="157">
        <f t="shared" si="12"/>
        <v>1.2749999999999994E-2</v>
      </c>
    </row>
    <row r="20" spans="1:20" x14ac:dyDescent="0.3">
      <c r="A20" s="26">
        <v>16</v>
      </c>
      <c r="B20" s="39">
        <f t="shared" si="6"/>
        <v>2008</v>
      </c>
      <c r="C20" s="143">
        <f t="shared" si="7"/>
        <v>52451.003736252016</v>
      </c>
      <c r="D20" s="31">
        <f t="shared" si="8"/>
        <v>1.2374999999999971E-2</v>
      </c>
      <c r="E20" s="143">
        <f t="shared" si="0"/>
        <v>54220.700602313154</v>
      </c>
      <c r="F20" s="31">
        <f t="shared" si="1"/>
        <v>3.3739999999999909E-2</v>
      </c>
      <c r="G20" s="31"/>
      <c r="H20" s="143">
        <f t="shared" si="2"/>
        <v>26225.501868126008</v>
      </c>
      <c r="I20" s="143">
        <f t="shared" si="9"/>
        <v>6018.7526787349188</v>
      </c>
      <c r="J20" s="148">
        <f t="shared" si="3"/>
        <v>84695.25828311294</v>
      </c>
      <c r="K20" s="148"/>
      <c r="L20" s="143">
        <f t="shared" si="4"/>
        <v>27110.350301156577</v>
      </c>
      <c r="M20" s="143">
        <f t="shared" si="10"/>
        <v>6221.8253941154344</v>
      </c>
      <c r="N20" s="148">
        <f t="shared" si="5"/>
        <v>87552.876297585171</v>
      </c>
      <c r="P20" s="26">
        <v>16</v>
      </c>
      <c r="Q20" s="32">
        <f t="shared" si="11"/>
        <v>3.3739999999999951E-2</v>
      </c>
      <c r="S20" s="26">
        <v>16</v>
      </c>
      <c r="T20" s="32">
        <f t="shared" si="12"/>
        <v>1.2374999999999994E-2</v>
      </c>
    </row>
    <row r="21" spans="1:20" x14ac:dyDescent="0.3">
      <c r="A21" s="26">
        <v>17</v>
      </c>
      <c r="B21" s="26">
        <f t="shared" si="6"/>
        <v>2007</v>
      </c>
      <c r="C21" s="143">
        <f t="shared" si="7"/>
        <v>53080.415781087038</v>
      </c>
      <c r="D21" s="31">
        <f t="shared" si="8"/>
        <v>1.1999999999999962E-2</v>
      </c>
      <c r="E21" s="143">
        <f t="shared" si="0"/>
        <v>54847.595523478878</v>
      </c>
      <c r="F21" s="31">
        <f t="shared" si="1"/>
        <v>3.3292499999999989E-2</v>
      </c>
      <c r="G21" s="31"/>
      <c r="H21" s="143">
        <f t="shared" si="2"/>
        <v>26540.207890543519</v>
      </c>
      <c r="I21" s="143">
        <f t="shared" si="9"/>
        <v>6090.977710879738</v>
      </c>
      <c r="J21" s="148">
        <f t="shared" si="3"/>
        <v>85711.6013825103</v>
      </c>
      <c r="K21" s="148"/>
      <c r="L21" s="143">
        <f t="shared" si="4"/>
        <v>27423.797761739439</v>
      </c>
      <c r="M21" s="143">
        <f t="shared" si="10"/>
        <v>6293.7615863192013</v>
      </c>
      <c r="N21" s="148">
        <f t="shared" si="5"/>
        <v>88565.154871537525</v>
      </c>
      <c r="P21" s="26">
        <v>17</v>
      </c>
      <c r="Q21" s="32">
        <f t="shared" si="11"/>
        <v>3.3292499999999947E-2</v>
      </c>
      <c r="S21" s="26">
        <v>17</v>
      </c>
      <c r="T21" s="32">
        <f t="shared" si="12"/>
        <v>1.1999999999999993E-2</v>
      </c>
    </row>
    <row r="22" spans="1:20" x14ac:dyDescent="0.3">
      <c r="A22" s="26">
        <v>18</v>
      </c>
      <c r="B22" s="26">
        <f t="shared" si="6"/>
        <v>2006</v>
      </c>
      <c r="C22" s="143">
        <f t="shared" si="7"/>
        <v>53697.475614542178</v>
      </c>
      <c r="D22" s="31">
        <f t="shared" si="8"/>
        <v>1.1625000000000052E-2</v>
      </c>
      <c r="E22" s="143">
        <f t="shared" si="0"/>
        <v>55461.169201101809</v>
      </c>
      <c r="F22" s="31">
        <f t="shared" si="1"/>
        <v>3.2844999999999881E-2</v>
      </c>
      <c r="G22" s="31"/>
      <c r="H22" s="143">
        <f t="shared" si="2"/>
        <v>26848.737807271089</v>
      </c>
      <c r="I22" s="143">
        <f t="shared" si="9"/>
        <v>6161.7853267687151</v>
      </c>
      <c r="J22" s="148">
        <f t="shared" si="3"/>
        <v>86707.998748581987</v>
      </c>
      <c r="K22" s="148"/>
      <c r="L22" s="143">
        <f t="shared" si="4"/>
        <v>27730.584600550905</v>
      </c>
      <c r="M22" s="143">
        <f t="shared" si="10"/>
        <v>6364.1691658264326</v>
      </c>
      <c r="N22" s="148">
        <f t="shared" si="5"/>
        <v>89555.922967479142</v>
      </c>
      <c r="P22" s="26">
        <v>18</v>
      </c>
      <c r="Q22" s="32">
        <f t="shared" si="11"/>
        <v>3.2844999999999944E-2</v>
      </c>
      <c r="S22" s="26">
        <v>18</v>
      </c>
      <c r="T22" s="32">
        <f t="shared" si="12"/>
        <v>1.1624999999999993E-2</v>
      </c>
    </row>
    <row r="23" spans="1:20" x14ac:dyDescent="0.3">
      <c r="A23" s="26">
        <v>19</v>
      </c>
      <c r="B23" s="26">
        <f t="shared" si="6"/>
        <v>2005</v>
      </c>
      <c r="C23" s="143">
        <f t="shared" si="7"/>
        <v>54301.572215205779</v>
      </c>
      <c r="D23" s="31">
        <f t="shared" si="8"/>
        <v>1.1250000000000026E-2</v>
      </c>
      <c r="E23" s="143">
        <f t="shared" si="0"/>
        <v>56060.807401047903</v>
      </c>
      <c r="F23" s="31">
        <f t="shared" si="1"/>
        <v>3.2397499999999912E-2</v>
      </c>
      <c r="G23" s="31"/>
      <c r="H23" s="143">
        <f t="shared" si="2"/>
        <v>27150.786107602889</v>
      </c>
      <c r="I23" s="143">
        <f t="shared" si="9"/>
        <v>6231.1054116948626</v>
      </c>
      <c r="J23" s="148">
        <f t="shared" si="3"/>
        <v>87683.46373450353</v>
      </c>
      <c r="K23" s="148"/>
      <c r="L23" s="143">
        <f t="shared" si="4"/>
        <v>28030.403700523952</v>
      </c>
      <c r="M23" s="143">
        <f t="shared" si="10"/>
        <v>6432.9776492702467</v>
      </c>
      <c r="N23" s="148">
        <f t="shared" si="5"/>
        <v>90524.188750842106</v>
      </c>
      <c r="P23" s="26">
        <v>19</v>
      </c>
      <c r="Q23" s="32">
        <f t="shared" si="11"/>
        <v>3.239749999999994E-2</v>
      </c>
      <c r="S23" s="26">
        <v>19</v>
      </c>
      <c r="T23" s="32">
        <f t="shared" si="12"/>
        <v>1.1249999999999993E-2</v>
      </c>
    </row>
    <row r="24" spans="1:20" s="150" customFormat="1" x14ac:dyDescent="0.3">
      <c r="A24" s="150">
        <v>20</v>
      </c>
      <c r="B24" s="150">
        <f t="shared" si="6"/>
        <v>2004</v>
      </c>
      <c r="C24" s="151">
        <f t="shared" si="7"/>
        <v>54892.101813046138</v>
      </c>
      <c r="D24" s="152">
        <f t="shared" si="8"/>
        <v>1.0874999999999933E-2</v>
      </c>
      <c r="E24" s="151">
        <f t="shared" si="0"/>
        <v>56645.904465972955</v>
      </c>
      <c r="F24" s="152">
        <f t="shared" si="1"/>
        <v>3.1949999999999874E-2</v>
      </c>
      <c r="G24" s="152"/>
      <c r="H24" s="151">
        <f t="shared" si="2"/>
        <v>27446.050906523069</v>
      </c>
      <c r="I24" s="151">
        <f t="shared" si="9"/>
        <v>6298.8686830470442</v>
      </c>
      <c r="J24" s="154">
        <f t="shared" si="3"/>
        <v>88637.021402616243</v>
      </c>
      <c r="K24" s="154"/>
      <c r="L24" s="151">
        <f t="shared" si="4"/>
        <v>28322.952232986478</v>
      </c>
      <c r="M24" s="151">
        <f t="shared" si="10"/>
        <v>6500.1175374703962</v>
      </c>
      <c r="N24" s="154">
        <f t="shared" si="5"/>
        <v>91468.974236429814</v>
      </c>
      <c r="P24" s="150">
        <v>20</v>
      </c>
      <c r="Q24" s="157">
        <f t="shared" si="11"/>
        <v>3.1949999999999937E-2</v>
      </c>
      <c r="S24" s="150">
        <v>20</v>
      </c>
      <c r="T24" s="157">
        <f t="shared" si="12"/>
        <v>1.0874999999999992E-2</v>
      </c>
    </row>
    <row r="25" spans="1:20" x14ac:dyDescent="0.3">
      <c r="A25" s="26">
        <v>21</v>
      </c>
      <c r="B25" s="39">
        <f t="shared" si="6"/>
        <v>2003</v>
      </c>
      <c r="C25" s="143">
        <f t="shared" si="7"/>
        <v>55468.468882083122</v>
      </c>
      <c r="D25" s="31">
        <f t="shared" si="8"/>
        <v>1.0499999999999985E-2</v>
      </c>
      <c r="E25" s="143">
        <f t="shared" si="0"/>
        <v>57215.864323040943</v>
      </c>
      <c r="F25" s="31">
        <f t="shared" si="1"/>
        <v>3.1502499999999968E-2</v>
      </c>
      <c r="G25" s="31"/>
      <c r="H25" s="143">
        <f t="shared" si="2"/>
        <v>27734.234441041561</v>
      </c>
      <c r="I25" s="143">
        <f t="shared" si="9"/>
        <v>6365.0068042190378</v>
      </c>
      <c r="J25" s="148">
        <f t="shared" si="3"/>
        <v>89567.710127343715</v>
      </c>
      <c r="K25" s="148"/>
      <c r="L25" s="143">
        <f t="shared" si="4"/>
        <v>28607.932161520472</v>
      </c>
      <c r="M25" s="143">
        <f t="shared" si="10"/>
        <v>6565.5204310689487</v>
      </c>
      <c r="N25" s="148">
        <f t="shared" si="5"/>
        <v>92389.316915630363</v>
      </c>
      <c r="P25" s="26">
        <v>21</v>
      </c>
      <c r="Q25" s="32">
        <f t="shared" si="11"/>
        <v>3.1502499999999933E-2</v>
      </c>
      <c r="S25" s="26">
        <v>21</v>
      </c>
      <c r="T25" s="32">
        <f t="shared" si="12"/>
        <v>1.0499999999999992E-2</v>
      </c>
    </row>
    <row r="26" spans="1:20" x14ac:dyDescent="0.3">
      <c r="A26" s="26">
        <v>22</v>
      </c>
      <c r="B26" s="26">
        <f t="shared" si="6"/>
        <v>2002</v>
      </c>
      <c r="C26" s="143">
        <f t="shared" si="7"/>
        <v>56030.087129514213</v>
      </c>
      <c r="D26" s="31">
        <f t="shared" si="8"/>
        <v>1.0125000000000002E-2</v>
      </c>
      <c r="E26" s="143">
        <f t="shared" si="0"/>
        <v>57770.101485321276</v>
      </c>
      <c r="F26" s="31">
        <f t="shared" si="1"/>
        <v>3.1054999999999985E-2</v>
      </c>
      <c r="G26" s="31"/>
      <c r="H26" s="143">
        <f t="shared" si="2"/>
        <v>28015.043564757107</v>
      </c>
      <c r="I26" s="143">
        <f t="shared" si="9"/>
        <v>6429.4524981117565</v>
      </c>
      <c r="J26" s="148">
        <f t="shared" si="3"/>
        <v>90474.583192383085</v>
      </c>
      <c r="K26" s="148"/>
      <c r="L26" s="143">
        <f t="shared" si="4"/>
        <v>28885.050742660638</v>
      </c>
      <c r="M26" s="143">
        <f t="shared" si="10"/>
        <v>6629.1191454406162</v>
      </c>
      <c r="N26" s="148">
        <f t="shared" si="5"/>
        <v>93284.27137342254</v>
      </c>
      <c r="P26" s="26">
        <v>22</v>
      </c>
      <c r="Q26" s="32">
        <f t="shared" si="11"/>
        <v>3.1054999999999933E-2</v>
      </c>
      <c r="S26" s="26">
        <v>22</v>
      </c>
      <c r="T26" s="32">
        <f t="shared" si="12"/>
        <v>1.0124999999999992E-2</v>
      </c>
    </row>
    <row r="27" spans="1:20" x14ac:dyDescent="0.3">
      <c r="A27" s="26">
        <v>23</v>
      </c>
      <c r="B27" s="26">
        <f t="shared" si="6"/>
        <v>2001</v>
      </c>
      <c r="C27" s="143">
        <f t="shared" si="7"/>
        <v>56576.380479026979</v>
      </c>
      <c r="D27" s="31">
        <f t="shared" si="8"/>
        <v>9.7500000000000329E-3</v>
      </c>
      <c r="E27" s="143">
        <f t="shared" si="0"/>
        <v>58308.042044538794</v>
      </c>
      <c r="F27" s="31">
        <f t="shared" si="1"/>
        <v>3.060749999999994E-2</v>
      </c>
      <c r="G27" s="31"/>
      <c r="H27" s="143">
        <f t="shared" si="2"/>
        <v>28288.190239513489</v>
      </c>
      <c r="I27" s="143">
        <f t="shared" si="9"/>
        <v>6492.1396599683449</v>
      </c>
      <c r="J27" s="148">
        <f t="shared" si="3"/>
        <v>91356.710378508811</v>
      </c>
      <c r="K27" s="148"/>
      <c r="L27" s="143">
        <f t="shared" si="4"/>
        <v>29154.021022269397</v>
      </c>
      <c r="M27" s="143">
        <f t="shared" si="10"/>
        <v>6690.8478246108261</v>
      </c>
      <c r="N27" s="148">
        <f t="shared" si="5"/>
        <v>94152.910891419015</v>
      </c>
      <c r="P27" s="26">
        <v>23</v>
      </c>
      <c r="Q27" s="32">
        <f t="shared" si="11"/>
        <v>3.0607499999999933E-2</v>
      </c>
      <c r="S27" s="26">
        <v>23</v>
      </c>
      <c r="T27" s="32">
        <f t="shared" si="12"/>
        <v>9.7499999999999913E-3</v>
      </c>
    </row>
    <row r="28" spans="1:20" x14ac:dyDescent="0.3">
      <c r="A28" s="26">
        <v>24</v>
      </c>
      <c r="B28" s="26">
        <f t="shared" si="6"/>
        <v>2000</v>
      </c>
      <c r="C28" s="143">
        <f t="shared" si="7"/>
        <v>57106.784046017856</v>
      </c>
      <c r="D28" s="31">
        <f t="shared" si="8"/>
        <v>9.3749999999999858E-3</v>
      </c>
      <c r="E28" s="143">
        <f t="shared" si="0"/>
        <v>58829.124652845749</v>
      </c>
      <c r="F28" s="31">
        <f t="shared" si="1"/>
        <v>3.0159999999999899E-2</v>
      </c>
      <c r="G28" s="31"/>
      <c r="H28" s="143">
        <f t="shared" si="2"/>
        <v>28553.392023008928</v>
      </c>
      <c r="I28" s="143">
        <f t="shared" si="9"/>
        <v>6553.0034692805484</v>
      </c>
      <c r="J28" s="148">
        <f t="shared" si="3"/>
        <v>92213.179538307333</v>
      </c>
      <c r="K28" s="148"/>
      <c r="L28" s="143">
        <f t="shared" si="4"/>
        <v>29414.562326422874</v>
      </c>
      <c r="M28" s="143">
        <f t="shared" si="10"/>
        <v>6750.642053914049</v>
      </c>
      <c r="N28" s="148">
        <f t="shared" si="5"/>
        <v>94994.329033182672</v>
      </c>
      <c r="P28" s="26">
        <v>24</v>
      </c>
      <c r="Q28" s="32">
        <f t="shared" si="11"/>
        <v>3.0159999999999933E-2</v>
      </c>
      <c r="S28" s="26">
        <v>24</v>
      </c>
      <c r="T28" s="32">
        <f t="shared" si="12"/>
        <v>9.374999999999991E-3</v>
      </c>
    </row>
    <row r="29" spans="1:20" s="150" customFormat="1" x14ac:dyDescent="0.3">
      <c r="A29" s="150">
        <v>25</v>
      </c>
      <c r="B29" s="150">
        <f t="shared" si="6"/>
        <v>1999</v>
      </c>
      <c r="C29" s="151">
        <f t="shared" si="7"/>
        <v>57620.745102432018</v>
      </c>
      <c r="D29" s="152">
        <f t="shared" si="8"/>
        <v>9.0000000000000253E-3</v>
      </c>
      <c r="E29" s="151">
        <f t="shared" si="0"/>
        <v>59332.801491288024</v>
      </c>
      <c r="F29" s="152">
        <f t="shared" si="1"/>
        <v>2.9712499999999913E-2</v>
      </c>
      <c r="G29" s="152"/>
      <c r="H29" s="151">
        <f t="shared" si="2"/>
        <v>28810.372551216009</v>
      </c>
      <c r="I29" s="151">
        <f t="shared" si="9"/>
        <v>6611.9805005040735</v>
      </c>
      <c r="J29" s="154">
        <f t="shared" si="3"/>
        <v>93043.098154152089</v>
      </c>
      <c r="K29" s="154"/>
      <c r="L29" s="151">
        <f t="shared" si="4"/>
        <v>29666.400745644012</v>
      </c>
      <c r="M29" s="151">
        <f t="shared" si="10"/>
        <v>6808.4389711253007</v>
      </c>
      <c r="N29" s="154">
        <f t="shared" si="5"/>
        <v>95807.641208057335</v>
      </c>
      <c r="P29" s="150">
        <v>25</v>
      </c>
      <c r="Q29" s="157">
        <f t="shared" si="11"/>
        <v>2.9712499999999933E-2</v>
      </c>
      <c r="S29" s="150">
        <v>25</v>
      </c>
      <c r="T29" s="157">
        <f t="shared" si="12"/>
        <v>8.9999999999999906E-3</v>
      </c>
    </row>
    <row r="30" spans="1:20" x14ac:dyDescent="0.3">
      <c r="A30" s="26">
        <v>26</v>
      </c>
      <c r="B30" s="39">
        <f t="shared" si="6"/>
        <v>1998</v>
      </c>
      <c r="C30" s="143">
        <f t="shared" si="7"/>
        <v>58117.724028940494</v>
      </c>
      <c r="D30" s="31">
        <f t="shared" si="8"/>
        <v>8.6250000000000042E-3</v>
      </c>
      <c r="E30" s="143">
        <f t="shared" si="0"/>
        <v>59818.539222647436</v>
      </c>
      <c r="F30" s="31">
        <f t="shared" si="1"/>
        <v>2.9264999999999965E-2</v>
      </c>
      <c r="G30" s="31"/>
      <c r="H30" s="143">
        <f t="shared" si="2"/>
        <v>29058.862014470247</v>
      </c>
      <c r="I30" s="143">
        <f t="shared" si="9"/>
        <v>6669.008832320922</v>
      </c>
      <c r="J30" s="148">
        <f t="shared" si="3"/>
        <v>93845.594875731666</v>
      </c>
      <c r="K30" s="148"/>
      <c r="L30" s="143">
        <f t="shared" si="4"/>
        <v>29909.269611323718</v>
      </c>
      <c r="M30" s="143">
        <f t="shared" si="10"/>
        <v>6864.177375798793</v>
      </c>
      <c r="N30" s="148">
        <f t="shared" si="5"/>
        <v>96591.986209769952</v>
      </c>
      <c r="P30" s="26">
        <v>26</v>
      </c>
      <c r="Q30" s="32">
        <f t="shared" si="11"/>
        <v>2.9264999999999933E-2</v>
      </c>
      <c r="S30" s="26">
        <v>26</v>
      </c>
      <c r="T30" s="32">
        <f t="shared" si="12"/>
        <v>8.6249999999999903E-3</v>
      </c>
    </row>
    <row r="31" spans="1:20" x14ac:dyDescent="0.3">
      <c r="A31" s="26">
        <v>27</v>
      </c>
      <c r="B31" s="26">
        <f t="shared" si="6"/>
        <v>1997</v>
      </c>
      <c r="C31" s="143">
        <f t="shared" si="7"/>
        <v>58597.195252179255</v>
      </c>
      <c r="D31" s="31">
        <f t="shared" si="8"/>
        <v>8.2500000000000333E-3</v>
      </c>
      <c r="E31" s="143">
        <f t="shared" si="0"/>
        <v>60285.819926358927</v>
      </c>
      <c r="F31" s="31">
        <f t="shared" si="1"/>
        <v>2.8817499999999923E-2</v>
      </c>
      <c r="G31" s="31"/>
      <c r="H31" s="143">
        <f t="shared" si="2"/>
        <v>29298.597626089628</v>
      </c>
      <c r="I31" s="143">
        <f t="shared" si="9"/>
        <v>6724.0281551875696</v>
      </c>
      <c r="J31" s="148">
        <f t="shared" si="3"/>
        <v>94619.82103345645</v>
      </c>
      <c r="K31" s="148"/>
      <c r="L31" s="143">
        <f t="shared" si="4"/>
        <v>30142.909963179463</v>
      </c>
      <c r="M31" s="143">
        <f t="shared" si="10"/>
        <v>6917.7978365496865</v>
      </c>
      <c r="N31" s="148">
        <f t="shared" si="5"/>
        <v>97346.527726088068</v>
      </c>
      <c r="P31" s="26">
        <v>27</v>
      </c>
      <c r="Q31" s="32">
        <f t="shared" si="11"/>
        <v>2.8817499999999933E-2</v>
      </c>
      <c r="S31" s="26">
        <v>27</v>
      </c>
      <c r="T31" s="32">
        <f t="shared" si="12"/>
        <v>8.24999999999999E-3</v>
      </c>
    </row>
    <row r="32" spans="1:20" x14ac:dyDescent="0.3">
      <c r="A32" s="26">
        <v>28</v>
      </c>
      <c r="B32" s="26">
        <f t="shared" si="6"/>
        <v>1996</v>
      </c>
      <c r="C32" s="143">
        <f t="shared" si="7"/>
        <v>59058.648164790167</v>
      </c>
      <c r="D32" s="31">
        <f t="shared" si="8"/>
        <v>7.8750000000000035E-3</v>
      </c>
      <c r="E32" s="143">
        <f t="shared" si="0"/>
        <v>60734.142013225261</v>
      </c>
      <c r="F32" s="31">
        <f t="shared" si="1"/>
        <v>2.8369999999999937E-2</v>
      </c>
      <c r="G32" s="31"/>
      <c r="H32" s="143">
        <f t="shared" si="2"/>
        <v>29529.324082395084</v>
      </c>
      <c r="I32" s="143">
        <f t="shared" si="9"/>
        <v>6776.9798769096706</v>
      </c>
      <c r="J32" s="148">
        <f t="shared" si="3"/>
        <v>95364.952124094911</v>
      </c>
      <c r="K32" s="148"/>
      <c r="L32" s="143">
        <f t="shared" si="4"/>
        <v>30367.07100661263</v>
      </c>
      <c r="M32" s="143">
        <f t="shared" si="10"/>
        <v>6969.2427960175983</v>
      </c>
      <c r="N32" s="148">
        <f t="shared" si="5"/>
        <v>98070.455815855486</v>
      </c>
      <c r="P32" s="26">
        <v>28</v>
      </c>
      <c r="Q32" s="32">
        <f t="shared" si="11"/>
        <v>2.8369999999999933E-2</v>
      </c>
      <c r="S32" s="26">
        <v>28</v>
      </c>
      <c r="T32" s="32">
        <f t="shared" si="12"/>
        <v>7.8749999999999896E-3</v>
      </c>
    </row>
    <row r="33" spans="1:20" x14ac:dyDescent="0.3">
      <c r="A33" s="26">
        <v>29</v>
      </c>
      <c r="B33" s="26">
        <f t="shared" si="6"/>
        <v>1995</v>
      </c>
      <c r="C33" s="143">
        <f t="shared" si="7"/>
        <v>59501.588026026096</v>
      </c>
      <c r="D33" s="31">
        <f t="shared" si="8"/>
        <v>7.5000000000000483E-3</v>
      </c>
      <c r="E33" s="143">
        <f t="shared" si="0"/>
        <v>61163.021117682809</v>
      </c>
      <c r="F33" s="31">
        <f t="shared" si="1"/>
        <v>2.7922499999999979E-2</v>
      </c>
      <c r="G33" s="31"/>
      <c r="H33" s="143">
        <f t="shared" si="2"/>
        <v>29750.794013013048</v>
      </c>
      <c r="I33" s="143">
        <f t="shared" si="9"/>
        <v>6827.8072259864948</v>
      </c>
      <c r="J33" s="148">
        <f t="shared" si="3"/>
        <v>96080.189265025649</v>
      </c>
      <c r="K33" s="148"/>
      <c r="L33" s="143">
        <f t="shared" si="4"/>
        <v>30581.510558841404</v>
      </c>
      <c r="M33" s="143">
        <f t="shared" si="10"/>
        <v>7018.4566732541025</v>
      </c>
      <c r="N33" s="148">
        <f t="shared" si="5"/>
        <v>98762.988349778316</v>
      </c>
      <c r="P33" s="26">
        <v>29</v>
      </c>
      <c r="Q33" s="32">
        <f t="shared" si="11"/>
        <v>2.7922499999999933E-2</v>
      </c>
      <c r="S33" s="26">
        <v>29</v>
      </c>
      <c r="T33" s="32">
        <f t="shared" si="12"/>
        <v>7.4999999999999893E-3</v>
      </c>
    </row>
    <row r="34" spans="1:20" s="150" customFormat="1" x14ac:dyDescent="0.3">
      <c r="A34" s="150">
        <v>30</v>
      </c>
      <c r="B34" s="150">
        <f t="shared" si="6"/>
        <v>1994</v>
      </c>
      <c r="C34" s="151">
        <f t="shared" si="7"/>
        <v>59925.536840711531</v>
      </c>
      <c r="D34" s="152">
        <f t="shared" si="8"/>
        <v>7.1249999999999777E-3</v>
      </c>
      <c r="E34" s="151">
        <f t="shared" si="0"/>
        <v>61571.990965410077</v>
      </c>
      <c r="F34" s="152">
        <f t="shared" si="1"/>
        <v>2.7474999999999951E-2</v>
      </c>
      <c r="G34" s="152"/>
      <c r="H34" s="151">
        <f t="shared" si="2"/>
        <v>29962.768420355766</v>
      </c>
      <c r="I34" s="151">
        <f t="shared" si="9"/>
        <v>6876.4553524716475</v>
      </c>
      <c r="J34" s="154">
        <f t="shared" si="3"/>
        <v>96764.760613538936</v>
      </c>
      <c r="K34" s="154"/>
      <c r="L34" s="151">
        <f t="shared" si="4"/>
        <v>30785.995482705039</v>
      </c>
      <c r="M34" s="151">
        <f t="shared" si="10"/>
        <v>7065.3859632808062</v>
      </c>
      <c r="N34" s="154">
        <f t="shared" si="5"/>
        <v>99423.372411395918</v>
      </c>
      <c r="P34" s="150">
        <v>30</v>
      </c>
      <c r="Q34" s="157">
        <f t="shared" si="11"/>
        <v>2.7474999999999934E-2</v>
      </c>
      <c r="S34" s="150">
        <v>30</v>
      </c>
      <c r="T34" s="157">
        <f t="shared" si="12"/>
        <v>7.124999999999989E-3</v>
      </c>
    </row>
    <row r="35" spans="1:20" x14ac:dyDescent="0.3">
      <c r="A35" s="26">
        <v>31</v>
      </c>
      <c r="B35" s="39">
        <f t="shared" si="6"/>
        <v>1993</v>
      </c>
      <c r="C35" s="143">
        <f t="shared" si="7"/>
        <v>60330.034214386331</v>
      </c>
      <c r="D35" s="31">
        <f t="shared" si="8"/>
        <v>6.7499999999999487E-3</v>
      </c>
      <c r="E35" s="143">
        <f t="shared" si="0"/>
        <v>61960.60421411565</v>
      </c>
      <c r="F35" s="31">
        <f t="shared" si="1"/>
        <v>2.7027499999999885E-2</v>
      </c>
      <c r="G35" s="31"/>
      <c r="H35" s="143">
        <f t="shared" si="2"/>
        <v>30165.017107193165</v>
      </c>
      <c r="I35" s="143">
        <f t="shared" si="9"/>
        <v>6922.8714261008308</v>
      </c>
      <c r="J35" s="148">
        <f t="shared" si="3"/>
        <v>97417.922747680321</v>
      </c>
      <c r="K35" s="148"/>
      <c r="L35" s="143">
        <f t="shared" si="4"/>
        <v>30980.302107057825</v>
      </c>
      <c r="M35" s="143">
        <f t="shared" si="10"/>
        <v>7109.9793335697705</v>
      </c>
      <c r="N35" s="148">
        <f t="shared" si="5"/>
        <v>100050.88565474325</v>
      </c>
      <c r="P35" s="26">
        <v>31</v>
      </c>
      <c r="Q35" s="32">
        <f t="shared" si="11"/>
        <v>2.7027499999999934E-2</v>
      </c>
      <c r="S35" s="26">
        <v>31</v>
      </c>
      <c r="T35" s="32">
        <f t="shared" si="12"/>
        <v>6.7499999999999886E-3</v>
      </c>
    </row>
    <row r="36" spans="1:20" x14ac:dyDescent="0.3">
      <c r="A36" s="26">
        <v>32</v>
      </c>
      <c r="B36" s="26">
        <f t="shared" si="6"/>
        <v>1992</v>
      </c>
      <c r="C36" s="143">
        <f t="shared" si="7"/>
        <v>60714.63818250304</v>
      </c>
      <c r="D36" s="31">
        <f t="shared" si="8"/>
        <v>6.3749999999999432E-3</v>
      </c>
      <c r="E36" s="143">
        <f t="shared" si="0"/>
        <v>62328.433265393964</v>
      </c>
      <c r="F36" s="31">
        <f t="shared" si="1"/>
        <v>2.6579999999999878E-2</v>
      </c>
      <c r="G36" s="31"/>
      <c r="H36" s="143">
        <f t="shared" si="2"/>
        <v>30357.31909125152</v>
      </c>
      <c r="I36" s="143">
        <f t="shared" si="9"/>
        <v>6967.0047314422236</v>
      </c>
      <c r="J36" s="148">
        <f t="shared" si="3"/>
        <v>98038.96200519678</v>
      </c>
      <c r="K36" s="148"/>
      <c r="L36" s="143">
        <f t="shared" si="4"/>
        <v>31164.216632696982</v>
      </c>
      <c r="M36" s="143">
        <f t="shared" si="10"/>
        <v>7152.1877172039576</v>
      </c>
      <c r="N36" s="148">
        <f t="shared" si="5"/>
        <v>100644.83761529491</v>
      </c>
      <c r="P36" s="26">
        <v>32</v>
      </c>
      <c r="Q36" s="32">
        <f t="shared" si="11"/>
        <v>2.6579999999999934E-2</v>
      </c>
      <c r="S36" s="26">
        <v>32</v>
      </c>
      <c r="T36" s="32">
        <f t="shared" si="12"/>
        <v>6.3749999999999883E-3</v>
      </c>
    </row>
    <row r="37" spans="1:20" x14ac:dyDescent="0.3">
      <c r="A37" s="26">
        <v>33</v>
      </c>
      <c r="B37" s="26">
        <f t="shared" si="6"/>
        <v>1991</v>
      </c>
      <c r="C37" s="143">
        <f t="shared" si="7"/>
        <v>61078.926011598058</v>
      </c>
      <c r="D37" s="31">
        <f t="shared" si="8"/>
        <v>5.999999999999988E-3</v>
      </c>
      <c r="E37" s="143">
        <f t="shared" si="0"/>
        <v>62675.071045596138</v>
      </c>
      <c r="F37" s="31">
        <f t="shared" si="1"/>
        <v>2.6132499999999902E-2</v>
      </c>
      <c r="G37" s="31"/>
      <c r="H37" s="143">
        <f t="shared" si="2"/>
        <v>30539.463005799029</v>
      </c>
      <c r="I37" s="143">
        <f t="shared" si="9"/>
        <v>7008.8067598308771</v>
      </c>
      <c r="J37" s="148">
        <f t="shared" si="3"/>
        <v>98627.195777227957</v>
      </c>
      <c r="K37" s="148"/>
      <c r="L37" s="143">
        <f t="shared" si="4"/>
        <v>31337.535522798069</v>
      </c>
      <c r="M37" s="143">
        <f t="shared" si="10"/>
        <v>7191.9644024821564</v>
      </c>
      <c r="N37" s="148">
        <f t="shared" si="5"/>
        <v>101204.57097087636</v>
      </c>
      <c r="P37" s="26">
        <v>33</v>
      </c>
      <c r="Q37" s="32">
        <f t="shared" si="11"/>
        <v>2.6132499999999934E-2</v>
      </c>
      <c r="S37" s="26">
        <v>33</v>
      </c>
      <c r="T37" s="32">
        <f t="shared" si="12"/>
        <v>5.999999999999988E-3</v>
      </c>
    </row>
    <row r="38" spans="1:20" x14ac:dyDescent="0.3">
      <c r="A38" s="26">
        <v>34</v>
      </c>
      <c r="B38" s="26">
        <f t="shared" si="6"/>
        <v>1990</v>
      </c>
      <c r="C38" s="143">
        <f t="shared" si="7"/>
        <v>61422.494970413296</v>
      </c>
      <c r="D38" s="31">
        <f t="shared" si="8"/>
        <v>5.624999999999985E-3</v>
      </c>
      <c r="E38" s="143">
        <f t="shared" si="0"/>
        <v>63000.131753728354</v>
      </c>
      <c r="F38" s="31">
        <f t="shared" si="1"/>
        <v>2.5684999999999878E-2</v>
      </c>
      <c r="G38" s="31"/>
      <c r="H38" s="143">
        <f t="shared" si="2"/>
        <v>30711.247485206648</v>
      </c>
      <c r="I38" s="143">
        <f t="shared" si="9"/>
        <v>7048.2312978549253</v>
      </c>
      <c r="J38" s="148">
        <f t="shared" si="3"/>
        <v>99181.973753474871</v>
      </c>
      <c r="K38" s="148"/>
      <c r="L38" s="143">
        <f t="shared" si="4"/>
        <v>31500.065876864177</v>
      </c>
      <c r="M38" s="143">
        <f t="shared" si="10"/>
        <v>7229.2651187403289</v>
      </c>
      <c r="N38" s="148">
        <f t="shared" si="5"/>
        <v>101729.46274933286</v>
      </c>
      <c r="P38" s="26">
        <v>34</v>
      </c>
      <c r="Q38" s="32">
        <f t="shared" si="11"/>
        <v>2.5684999999999934E-2</v>
      </c>
      <c r="S38" s="26">
        <v>34</v>
      </c>
      <c r="T38" s="32">
        <f t="shared" si="12"/>
        <v>5.6249999999999876E-3</v>
      </c>
    </row>
    <row r="39" spans="1:20" s="150" customFormat="1" x14ac:dyDescent="0.3">
      <c r="A39" s="150">
        <v>35</v>
      </c>
      <c r="B39" s="150">
        <f t="shared" si="6"/>
        <v>1989</v>
      </c>
      <c r="C39" s="151">
        <f t="shared" si="7"/>
        <v>61744.963069007965</v>
      </c>
      <c r="D39" s="152">
        <f t="shared" si="8"/>
        <v>5.2499999999999847E-3</v>
      </c>
      <c r="E39" s="151">
        <f t="shared" si="0"/>
        <v>63303.251574462047</v>
      </c>
      <c r="F39" s="152">
        <f t="shared" si="1"/>
        <v>2.5237499999999895E-2</v>
      </c>
      <c r="G39" s="152"/>
      <c r="H39" s="151">
        <f t="shared" si="2"/>
        <v>30872.481534503982</v>
      </c>
      <c r="I39" s="151">
        <f t="shared" si="9"/>
        <v>7085.234512168664</v>
      </c>
      <c r="J39" s="154">
        <f t="shared" si="3"/>
        <v>99702.679115680614</v>
      </c>
      <c r="K39" s="154"/>
      <c r="L39" s="151">
        <f t="shared" si="4"/>
        <v>31651.625787231023</v>
      </c>
      <c r="M39" s="151">
        <f t="shared" si="10"/>
        <v>7264.0481181695195</v>
      </c>
      <c r="N39" s="154">
        <f t="shared" si="5"/>
        <v>102218.92547986259</v>
      </c>
      <c r="P39" s="150">
        <v>35</v>
      </c>
      <c r="Q39" s="157">
        <f t="shared" si="11"/>
        <v>2.5237499999999934E-2</v>
      </c>
      <c r="S39" s="150">
        <v>35</v>
      </c>
      <c r="T39" s="157">
        <f t="shared" si="12"/>
        <v>5.2499999999999873E-3</v>
      </c>
    </row>
    <row r="40" spans="1:20" x14ac:dyDescent="0.3">
      <c r="A40" s="26">
        <v>36</v>
      </c>
      <c r="B40" s="39">
        <f t="shared" si="6"/>
        <v>1988</v>
      </c>
      <c r="C40" s="143">
        <f t="shared" si="7"/>
        <v>62045.969763969377</v>
      </c>
      <c r="D40" s="31">
        <f t="shared" si="8"/>
        <v>4.8749999999999705E-3</v>
      </c>
      <c r="E40" s="143">
        <f t="shared" si="0"/>
        <v>63584.089354418174</v>
      </c>
      <c r="F40" s="31">
        <f t="shared" si="1"/>
        <v>2.4789999999999947E-2</v>
      </c>
      <c r="G40" s="31"/>
      <c r="H40" s="143">
        <f t="shared" si="2"/>
        <v>31022.984881984688</v>
      </c>
      <c r="I40" s="143">
        <f t="shared" si="9"/>
        <v>7119.7750304154861</v>
      </c>
      <c r="J40" s="148">
        <f t="shared" si="3"/>
        <v>100188.72967636956</v>
      </c>
      <c r="K40" s="148"/>
      <c r="L40" s="143">
        <f t="shared" si="4"/>
        <v>31792.044677209087</v>
      </c>
      <c r="M40" s="143">
        <f t="shared" si="10"/>
        <v>7296.2742534194858</v>
      </c>
      <c r="N40" s="148">
        <f t="shared" si="5"/>
        <v>102672.40828504675</v>
      </c>
      <c r="P40" s="26">
        <v>36</v>
      </c>
      <c r="Q40" s="32">
        <f t="shared" si="11"/>
        <v>2.4789999999999934E-2</v>
      </c>
      <c r="S40" s="26">
        <v>36</v>
      </c>
      <c r="T40" s="32">
        <f t="shared" si="12"/>
        <v>4.874999999999987E-3</v>
      </c>
    </row>
    <row r="41" spans="1:20" x14ac:dyDescent="0.3">
      <c r="A41" s="26">
        <v>37</v>
      </c>
      <c r="B41" s="26">
        <f t="shared" si="6"/>
        <v>1987</v>
      </c>
      <c r="C41" s="143">
        <f t="shared" si="7"/>
        <v>62325.17662790724</v>
      </c>
      <c r="D41" s="31">
        <f t="shared" si="8"/>
        <v>4.5000000000000144E-3</v>
      </c>
      <c r="E41" s="143">
        <f t="shared" si="0"/>
        <v>63842.327239972066</v>
      </c>
      <c r="F41" s="31">
        <f t="shared" si="1"/>
        <v>2.4342499999999909E-2</v>
      </c>
      <c r="G41" s="31"/>
      <c r="H41" s="143">
        <f t="shared" si="2"/>
        <v>31162.58831395362</v>
      </c>
      <c r="I41" s="143">
        <f t="shared" si="9"/>
        <v>7151.814018052356</v>
      </c>
      <c r="J41" s="148">
        <f t="shared" si="3"/>
        <v>100639.57895991323</v>
      </c>
      <c r="K41" s="148"/>
      <c r="L41" s="143">
        <f t="shared" si="4"/>
        <v>31921.163619986033</v>
      </c>
      <c r="M41" s="143">
        <f t="shared" si="10"/>
        <v>7325.9070507867946</v>
      </c>
      <c r="N41" s="148">
        <f t="shared" si="5"/>
        <v>103089.39791074488</v>
      </c>
      <c r="P41" s="26">
        <v>37</v>
      </c>
      <c r="Q41" s="32">
        <f t="shared" si="11"/>
        <v>2.4342499999999934E-2</v>
      </c>
      <c r="S41" s="26">
        <v>37</v>
      </c>
      <c r="T41" s="32">
        <f t="shared" si="12"/>
        <v>4.4999999999999866E-3</v>
      </c>
    </row>
    <row r="42" spans="1:20" x14ac:dyDescent="0.3">
      <c r="A42" s="26">
        <v>38</v>
      </c>
      <c r="B42" s="26">
        <f t="shared" si="6"/>
        <v>1986</v>
      </c>
      <c r="C42" s="143">
        <f t="shared" si="7"/>
        <v>62582.26798149736</v>
      </c>
      <c r="D42" s="31">
        <f t="shared" si="8"/>
        <v>4.1250000000000418E-3</v>
      </c>
      <c r="E42" s="143">
        <f t="shared" si="0"/>
        <v>64077.671274915236</v>
      </c>
      <c r="F42" s="31">
        <f t="shared" si="1"/>
        <v>2.3894999999999944E-2</v>
      </c>
      <c r="G42" s="31"/>
      <c r="H42" s="143">
        <f t="shared" si="2"/>
        <v>31291.13399074868</v>
      </c>
      <c r="I42" s="143">
        <f t="shared" si="9"/>
        <v>7181.3152508768217</v>
      </c>
      <c r="J42" s="148">
        <f t="shared" si="3"/>
        <v>101054.71722312286</v>
      </c>
      <c r="K42" s="148"/>
      <c r="L42" s="143">
        <f t="shared" si="4"/>
        <v>32038.835637457618</v>
      </c>
      <c r="M42" s="143">
        <f t="shared" si="10"/>
        <v>7352.9127787965235</v>
      </c>
      <c r="N42" s="148">
        <f t="shared" si="5"/>
        <v>103469.41969116939</v>
      </c>
      <c r="P42" s="26">
        <v>38</v>
      </c>
      <c r="Q42" s="32">
        <f t="shared" si="11"/>
        <v>2.3894999999999934E-2</v>
      </c>
      <c r="S42" s="26">
        <v>38</v>
      </c>
      <c r="T42" s="32">
        <f t="shared" si="12"/>
        <v>4.1249999999999863E-3</v>
      </c>
    </row>
    <row r="43" spans="1:20" x14ac:dyDescent="0.3">
      <c r="A43" s="26">
        <v>39</v>
      </c>
      <c r="B43" s="26">
        <f t="shared" si="6"/>
        <v>1985</v>
      </c>
      <c r="C43" s="143">
        <f t="shared" si="7"/>
        <v>62816.951486427977</v>
      </c>
      <c r="D43" s="31">
        <f t="shared" si="8"/>
        <v>3.7500000000000359E-3</v>
      </c>
      <c r="E43" s="143">
        <f t="shared" si="0"/>
        <v>64289.85195640599</v>
      </c>
      <c r="F43" s="31">
        <f t="shared" si="1"/>
        <v>2.3447499999999882E-2</v>
      </c>
      <c r="G43" s="31"/>
      <c r="H43" s="143">
        <f t="shared" si="2"/>
        <v>31408.475743213989</v>
      </c>
      <c r="I43" s="143">
        <f t="shared" si="9"/>
        <v>7208.24518306761</v>
      </c>
      <c r="J43" s="148">
        <f t="shared" si="3"/>
        <v>101433.67241270958</v>
      </c>
      <c r="K43" s="148"/>
      <c r="L43" s="143">
        <f t="shared" si="4"/>
        <v>32144.925978202995</v>
      </c>
      <c r="M43" s="143">
        <f t="shared" si="10"/>
        <v>7377.2605119975869</v>
      </c>
      <c r="N43" s="148">
        <f t="shared" si="5"/>
        <v>103812.03844660657</v>
      </c>
      <c r="P43" s="26">
        <v>39</v>
      </c>
      <c r="Q43" s="32">
        <f t="shared" si="11"/>
        <v>2.3447499999999934E-2</v>
      </c>
      <c r="S43" s="26">
        <v>39</v>
      </c>
      <c r="T43" s="32">
        <f t="shared" si="12"/>
        <v>3.7499999999999864E-3</v>
      </c>
    </row>
    <row r="44" spans="1:20" s="150" customFormat="1" x14ac:dyDescent="0.3">
      <c r="A44" s="150">
        <v>40</v>
      </c>
      <c r="B44" s="150">
        <f t="shared" si="6"/>
        <v>1984</v>
      </c>
      <c r="C44" s="151">
        <f t="shared" si="7"/>
        <v>63028.958697694674</v>
      </c>
      <c r="D44" s="152">
        <f t="shared" si="8"/>
        <v>3.375000000000036E-3</v>
      </c>
      <c r="E44" s="151">
        <f t="shared" si="0"/>
        <v>64478.624747741647</v>
      </c>
      <c r="F44" s="152">
        <f t="shared" si="1"/>
        <v>2.2999999999999934E-2</v>
      </c>
      <c r="G44" s="152"/>
      <c r="H44" s="151">
        <f t="shared" si="2"/>
        <v>31514.479348847337</v>
      </c>
      <c r="I44" s="151">
        <f t="shared" si="9"/>
        <v>7232.5730105604634</v>
      </c>
      <c r="J44" s="154">
        <f t="shared" si="3"/>
        <v>101776.01105710247</v>
      </c>
      <c r="K44" s="154"/>
      <c r="L44" s="151">
        <f t="shared" si="4"/>
        <v>32239.312373870824</v>
      </c>
      <c r="M44" s="151">
        <f t="shared" si="10"/>
        <v>7398.9221898033538</v>
      </c>
      <c r="N44" s="154">
        <f t="shared" si="5"/>
        <v>104116.85931141583</v>
      </c>
      <c r="P44" s="150">
        <v>40</v>
      </c>
      <c r="Q44" s="157">
        <f t="shared" si="11"/>
        <v>2.2999999999999934E-2</v>
      </c>
      <c r="S44" s="150">
        <v>40</v>
      </c>
      <c r="T44" s="157">
        <f t="shared" si="12"/>
        <v>3.3749999999999865E-3</v>
      </c>
    </row>
    <row r="45" spans="1:20" x14ac:dyDescent="0.3">
      <c r="T45" s="32"/>
    </row>
  </sheetData>
  <sheetProtection algorithmName="SHA-512" hashValue="Pwek7iuc1RVkdNFB9qSTIzhr3lQXb39EHCJwbAb3THw9RpNU48ZMV82RxB05tM7OSmfZU8/NcVIga6fdTbS/rA==" saltValue="N3lwc7j2DUK2KYMJJHRteg==" spinCount="100000" sheet="1" objects="1" scenarios="1"/>
  <mergeCells count="2">
    <mergeCell ref="B2:C2"/>
    <mergeCell ref="G2:U2"/>
  </mergeCells>
  <pageMargins left="0.7" right="0.7" top="0.75" bottom="0.75" header="0.3" footer="0.3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E1B8-E1EB-46FC-8C88-3C4A7C9EC4D5}">
  <dimension ref="A1:AM46"/>
  <sheetViews>
    <sheetView zoomScaleNormal="100" workbookViewId="0">
      <selection sqref="A1:N1"/>
    </sheetView>
  </sheetViews>
  <sheetFormatPr defaultColWidth="12.1796875" defaultRowHeight="14" x14ac:dyDescent="0.3"/>
  <cols>
    <col min="1" max="1" width="8.81640625" style="26" customWidth="1"/>
    <col min="2" max="2" width="9.1796875" style="26" customWidth="1"/>
    <col min="3" max="3" width="11.1796875" style="40" customWidth="1"/>
    <col min="4" max="4" width="1.453125" style="40" hidden="1" customWidth="1"/>
    <col min="5" max="5" width="9.453125" style="40" customWidth="1"/>
    <col min="6" max="6" width="10.1796875" style="26" hidden="1" customWidth="1"/>
    <col min="7" max="7" width="4.6328125" style="26" customWidth="1"/>
    <col min="8" max="8" width="5.54296875" style="26" hidden="1" customWidth="1"/>
    <col min="9" max="9" width="8.7265625" style="26" hidden="1" customWidth="1"/>
    <col min="10" max="10" width="4.36328125" style="26" hidden="1" customWidth="1"/>
    <col min="11" max="11" width="5.453125" style="26" hidden="1" customWidth="1"/>
    <col min="12" max="12" width="8.81640625" style="26" hidden="1" customWidth="1"/>
    <col min="13" max="13" width="12.453125" style="26" hidden="1" customWidth="1"/>
    <col min="14" max="16384" width="12.1796875" style="26"/>
  </cols>
  <sheetData>
    <row r="1" spans="1:39" s="42" customFormat="1" ht="15.5" x14ac:dyDescent="0.35">
      <c r="A1" s="312" t="s">
        <v>56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39" ht="30.5" hidden="1" customHeight="1" x14ac:dyDescent="0.3">
      <c r="A2" s="311" t="s">
        <v>40</v>
      </c>
      <c r="B2" s="311"/>
      <c r="C2" s="107">
        <v>4.4999999999999998E-2</v>
      </c>
      <c r="D2" s="27"/>
      <c r="E2" s="311" t="s">
        <v>53</v>
      </c>
      <c r="F2" s="311"/>
      <c r="G2" s="311"/>
      <c r="H2" s="311"/>
      <c r="I2" s="311"/>
      <c r="J2" s="311"/>
    </row>
    <row r="3" spans="1:39" s="41" customFormat="1" ht="69" customHeight="1" x14ac:dyDescent="0.35">
      <c r="A3" s="41" t="s">
        <v>41</v>
      </c>
      <c r="B3" s="41" t="s">
        <v>42</v>
      </c>
      <c r="C3" s="97" t="s">
        <v>43</v>
      </c>
      <c r="D3" s="97" t="s">
        <v>44</v>
      </c>
      <c r="E3" s="97" t="s">
        <v>45</v>
      </c>
      <c r="F3" s="41" t="s">
        <v>46</v>
      </c>
      <c r="H3" s="98" t="s">
        <v>47</v>
      </c>
      <c r="I3" s="41" t="s">
        <v>54</v>
      </c>
      <c r="J3" s="98" t="s">
        <v>48</v>
      </c>
      <c r="K3" s="41" t="s">
        <v>47</v>
      </c>
      <c r="L3" s="41" t="s">
        <v>55</v>
      </c>
      <c r="M3" s="41" t="s">
        <v>49</v>
      </c>
    </row>
    <row r="4" spans="1:39" ht="15" x14ac:dyDescent="0.3">
      <c r="A4" s="26" t="s">
        <v>50</v>
      </c>
      <c r="B4" s="26">
        <v>2023</v>
      </c>
      <c r="C4" s="28">
        <v>39249</v>
      </c>
      <c r="D4" s="29"/>
      <c r="E4" s="30">
        <f t="shared" ref="E4:E44" si="0">SUM(C4*I4)+C4</f>
        <v>40854.284099999997</v>
      </c>
      <c r="F4" s="31">
        <f t="shared" ref="F4:F44" si="1">SUM(E4-C4)/C4</f>
        <v>4.0899999999999929E-2</v>
      </c>
      <c r="G4" s="31"/>
      <c r="H4" s="26">
        <v>0</v>
      </c>
      <c r="I4" s="32">
        <v>4.0899999999999999E-2</v>
      </c>
      <c r="J4" s="33">
        <f>((0.0409-0.023)/40)</f>
        <v>4.4749999999999998E-4</v>
      </c>
      <c r="K4" s="26">
        <v>0</v>
      </c>
      <c r="L4" s="32"/>
      <c r="M4" s="34"/>
    </row>
    <row r="5" spans="1:39" x14ac:dyDescent="0.3">
      <c r="A5" s="26">
        <v>1</v>
      </c>
      <c r="B5" s="26">
        <f t="shared" ref="B5:B44" si="2">B4-1</f>
        <v>2022</v>
      </c>
      <c r="C5" s="29">
        <f t="shared" ref="C5:C44" si="3">SUM(C4*L5)+C4</f>
        <v>39955.482000000004</v>
      </c>
      <c r="D5" s="35">
        <f t="shared" ref="D5:D44" si="4">SUM(C5-C4)/C4</f>
        <v>1.8000000000000092E-2</v>
      </c>
      <c r="E5" s="29">
        <f t="shared" si="0"/>
        <v>41571.781135605001</v>
      </c>
      <c r="F5" s="31">
        <f t="shared" si="1"/>
        <v>4.0452499999999919E-2</v>
      </c>
      <c r="G5" s="31"/>
      <c r="H5" s="26">
        <v>1</v>
      </c>
      <c r="I5" s="32">
        <f t="shared" ref="I5:I44" si="5">I4-$J$4</f>
        <v>4.0452500000000002E-2</v>
      </c>
      <c r="J5" s="36" t="s">
        <v>51</v>
      </c>
      <c r="K5" s="26">
        <v>1</v>
      </c>
      <c r="L5" s="32">
        <v>1.7999999999999999E-2</v>
      </c>
      <c r="M5" s="37">
        <f>((0.02-0.005)/40)</f>
        <v>3.7500000000000001E-4</v>
      </c>
    </row>
    <row r="6" spans="1:39" x14ac:dyDescent="0.3">
      <c r="A6" s="26">
        <v>2</v>
      </c>
      <c r="B6" s="26">
        <f t="shared" si="2"/>
        <v>2021</v>
      </c>
      <c r="C6" s="29">
        <f t="shared" si="3"/>
        <v>40659.697370250004</v>
      </c>
      <c r="D6" s="35">
        <f t="shared" si="4"/>
        <v>1.7624999999999998E-2</v>
      </c>
      <c r="E6" s="29">
        <f t="shared" si="0"/>
        <v>42286.288563546856</v>
      </c>
      <c r="F6" s="31">
        <f t="shared" si="1"/>
        <v>4.0005000000000013E-2</v>
      </c>
      <c r="G6" s="31"/>
      <c r="H6" s="26">
        <v>2</v>
      </c>
      <c r="I6" s="32">
        <f t="shared" si="5"/>
        <v>4.0004999999999999E-2</v>
      </c>
      <c r="K6" s="26">
        <v>2</v>
      </c>
      <c r="L6" s="32">
        <f t="shared" ref="L6:L44" si="6">L5-$M$5</f>
        <v>1.7624999999999998E-2</v>
      </c>
      <c r="M6" s="38" t="s">
        <v>52</v>
      </c>
    </row>
    <row r="7" spans="1:39" x14ac:dyDescent="0.3">
      <c r="A7" s="26">
        <v>3</v>
      </c>
      <c r="B7" s="26">
        <f t="shared" si="2"/>
        <v>2020</v>
      </c>
      <c r="C7" s="29">
        <f t="shared" si="3"/>
        <v>41361.077149886813</v>
      </c>
      <c r="D7" s="35">
        <f t="shared" si="4"/>
        <v>1.7249999999999911E-2</v>
      </c>
      <c r="E7" s="29">
        <f t="shared" si="0"/>
        <v>42997.217959243462</v>
      </c>
      <c r="F7" s="31">
        <f t="shared" si="1"/>
        <v>3.9557500000000051E-2</v>
      </c>
      <c r="G7" s="31"/>
      <c r="H7" s="26">
        <v>3</v>
      </c>
      <c r="I7" s="32">
        <f t="shared" si="5"/>
        <v>3.9557499999999995E-2</v>
      </c>
      <c r="K7" s="26">
        <v>3</v>
      </c>
      <c r="L7" s="32">
        <f t="shared" si="6"/>
        <v>1.7249999999999998E-2</v>
      </c>
    </row>
    <row r="8" spans="1:39" x14ac:dyDescent="0.3">
      <c r="A8" s="26">
        <v>4</v>
      </c>
      <c r="B8" s="26">
        <f t="shared" si="2"/>
        <v>2019</v>
      </c>
      <c r="C8" s="29">
        <f t="shared" si="3"/>
        <v>42059.045326791151</v>
      </c>
      <c r="D8" s="35">
        <f t="shared" si="4"/>
        <v>1.6874999999999956E-2</v>
      </c>
      <c r="E8" s="29">
        <f t="shared" si="0"/>
        <v>43703.974589521953</v>
      </c>
      <c r="F8" s="31">
        <f t="shared" si="1"/>
        <v>3.9110000000000006E-2</v>
      </c>
      <c r="G8" s="31"/>
      <c r="H8" s="26">
        <v>4</v>
      </c>
      <c r="I8" s="32">
        <f t="shared" si="5"/>
        <v>3.9109999999999992E-2</v>
      </c>
      <c r="K8" s="26">
        <v>4</v>
      </c>
      <c r="L8" s="32">
        <f t="shared" si="6"/>
        <v>1.6874999999999998E-2</v>
      </c>
    </row>
    <row r="9" spans="1:39" s="94" customFormat="1" x14ac:dyDescent="0.3">
      <c r="A9" s="90">
        <v>5</v>
      </c>
      <c r="B9" s="90">
        <f t="shared" si="2"/>
        <v>2018</v>
      </c>
      <c r="C9" s="91">
        <f t="shared" si="3"/>
        <v>42753.019574683203</v>
      </c>
      <c r="D9" s="92">
        <f t="shared" si="4"/>
        <v>1.6499999999999966E-2</v>
      </c>
      <c r="E9" s="91">
        <f t="shared" si="0"/>
        <v>44405.958193989391</v>
      </c>
      <c r="F9" s="93">
        <f t="shared" si="1"/>
        <v>3.8662499999999954E-2</v>
      </c>
      <c r="G9" s="93"/>
      <c r="H9" s="94">
        <v>5</v>
      </c>
      <c r="I9" s="95">
        <f t="shared" si="5"/>
        <v>3.8662499999999989E-2</v>
      </c>
      <c r="K9" s="94">
        <v>5</v>
      </c>
      <c r="L9" s="95">
        <f t="shared" si="6"/>
        <v>1.6499999999999997E-2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3">
      <c r="A10" s="26">
        <v>6</v>
      </c>
      <c r="B10" s="39">
        <f t="shared" si="2"/>
        <v>2017</v>
      </c>
      <c r="C10" s="29">
        <f t="shared" si="3"/>
        <v>43442.412015324968</v>
      </c>
      <c r="D10" s="35">
        <f t="shared" si="4"/>
        <v>1.6124999999999952E-2</v>
      </c>
      <c r="E10" s="29">
        <f t="shared" si="0"/>
        <v>45102.563790490611</v>
      </c>
      <c r="F10" s="31">
        <f t="shared" si="1"/>
        <v>3.8214999999999985E-2</v>
      </c>
      <c r="G10" s="31"/>
      <c r="H10" s="26">
        <v>6</v>
      </c>
      <c r="I10" s="32">
        <f t="shared" si="5"/>
        <v>3.8214999999999985E-2</v>
      </c>
      <c r="K10" s="26">
        <v>6</v>
      </c>
      <c r="L10" s="32">
        <f t="shared" si="6"/>
        <v>1.6124999999999997E-2</v>
      </c>
    </row>
    <row r="11" spans="1:39" x14ac:dyDescent="0.3">
      <c r="A11" s="26">
        <v>7</v>
      </c>
      <c r="B11" s="26">
        <f t="shared" si="2"/>
        <v>2016</v>
      </c>
      <c r="C11" s="29">
        <f t="shared" si="3"/>
        <v>44126.630004566337</v>
      </c>
      <c r="D11" s="35">
        <f t="shared" si="4"/>
        <v>1.5750000000000031E-2</v>
      </c>
      <c r="E11" s="29">
        <f t="shared" si="0"/>
        <v>45793.182503263793</v>
      </c>
      <c r="F11" s="31">
        <f t="shared" si="1"/>
        <v>3.7767499999999926E-2</v>
      </c>
      <c r="G11" s="31"/>
      <c r="H11" s="26">
        <v>7</v>
      </c>
      <c r="I11" s="32">
        <f t="shared" si="5"/>
        <v>3.7767499999999982E-2</v>
      </c>
      <c r="K11" s="26">
        <v>7</v>
      </c>
      <c r="L11" s="32">
        <f t="shared" si="6"/>
        <v>1.5749999999999997E-2</v>
      </c>
    </row>
    <row r="12" spans="1:39" x14ac:dyDescent="0.3">
      <c r="A12" s="26">
        <v>8</v>
      </c>
      <c r="B12" s="26">
        <f t="shared" si="2"/>
        <v>2015</v>
      </c>
      <c r="C12" s="29">
        <f t="shared" si="3"/>
        <v>44805.076940886545</v>
      </c>
      <c r="D12" s="35">
        <f t="shared" si="4"/>
        <v>1.537500000000001E-2</v>
      </c>
      <c r="E12" s="29">
        <f t="shared" si="0"/>
        <v>46477.202412320432</v>
      </c>
      <c r="F12" s="31">
        <f t="shared" si="1"/>
        <v>3.7320000000000013E-2</v>
      </c>
      <c r="G12" s="31"/>
      <c r="H12" s="26">
        <v>8</v>
      </c>
      <c r="I12" s="32">
        <f t="shared" si="5"/>
        <v>3.7319999999999978E-2</v>
      </c>
      <c r="K12" s="26">
        <v>8</v>
      </c>
      <c r="L12" s="32">
        <f t="shared" si="6"/>
        <v>1.5374999999999996E-2</v>
      </c>
    </row>
    <row r="13" spans="1:39" x14ac:dyDescent="0.3">
      <c r="A13" s="26">
        <v>9</v>
      </c>
      <c r="B13" s="26">
        <f t="shared" si="2"/>
        <v>2014</v>
      </c>
      <c r="C13" s="29">
        <f t="shared" si="3"/>
        <v>45477.153094999841</v>
      </c>
      <c r="D13" s="35">
        <f t="shared" si="4"/>
        <v>1.4999999999999953E-2</v>
      </c>
      <c r="E13" s="29">
        <f t="shared" si="0"/>
        <v>47154.009422495219</v>
      </c>
      <c r="F13" s="31">
        <f t="shared" si="1"/>
        <v>3.6872499999999912E-2</v>
      </c>
      <c r="G13" s="31"/>
      <c r="H13" s="26">
        <v>9</v>
      </c>
      <c r="I13" s="32">
        <f t="shared" si="5"/>
        <v>3.6872499999999975E-2</v>
      </c>
      <c r="K13" s="26">
        <v>9</v>
      </c>
      <c r="L13" s="32">
        <f t="shared" si="6"/>
        <v>1.4999999999999996E-2</v>
      </c>
    </row>
    <row r="14" spans="1:39" s="90" customFormat="1" x14ac:dyDescent="0.3">
      <c r="A14" s="90">
        <v>10</v>
      </c>
      <c r="B14" s="90">
        <f t="shared" si="2"/>
        <v>2013</v>
      </c>
      <c r="C14" s="91">
        <f t="shared" si="3"/>
        <v>46142.256459014214</v>
      </c>
      <c r="D14" s="92">
        <f t="shared" si="4"/>
        <v>1.4624999999999992E-2</v>
      </c>
      <c r="E14" s="91">
        <f t="shared" si="0"/>
        <v>47822.988150533805</v>
      </c>
      <c r="F14" s="93">
        <f t="shared" si="1"/>
        <v>3.6424999999999971E-2</v>
      </c>
      <c r="G14" s="93"/>
      <c r="H14" s="90">
        <v>10</v>
      </c>
      <c r="I14" s="96">
        <f t="shared" si="5"/>
        <v>3.6424999999999971E-2</v>
      </c>
      <c r="K14" s="90">
        <v>10</v>
      </c>
      <c r="L14" s="96">
        <f t="shared" si="6"/>
        <v>1.4624999999999996E-2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3">
      <c r="A15" s="26">
        <v>11</v>
      </c>
      <c r="B15" s="39">
        <f t="shared" si="2"/>
        <v>2012</v>
      </c>
      <c r="C15" s="29">
        <f t="shared" si="3"/>
        <v>46799.783613555162</v>
      </c>
      <c r="D15" s="35">
        <f t="shared" si="4"/>
        <v>1.4249999999999916E-2</v>
      </c>
      <c r="E15" s="29">
        <f t="shared" si="0"/>
        <v>48483.522828511843</v>
      </c>
      <c r="F15" s="31">
        <f t="shared" si="1"/>
        <v>3.5977499999999989E-2</v>
      </c>
      <c r="G15" s="31"/>
      <c r="H15" s="26">
        <v>11</v>
      </c>
      <c r="I15" s="32">
        <f t="shared" si="5"/>
        <v>3.5977499999999968E-2</v>
      </c>
      <c r="K15" s="26">
        <v>11</v>
      </c>
      <c r="L15" s="32">
        <f t="shared" si="6"/>
        <v>1.4249999999999995E-2</v>
      </c>
    </row>
    <row r="16" spans="1:39" x14ac:dyDescent="0.3">
      <c r="A16" s="26">
        <v>12</v>
      </c>
      <c r="B16" s="26">
        <f t="shared" si="2"/>
        <v>2011</v>
      </c>
      <c r="C16" s="29">
        <f t="shared" si="3"/>
        <v>47449.130611193243</v>
      </c>
      <c r="D16" s="35">
        <f t="shared" si="4"/>
        <v>1.387500000000005E-2</v>
      </c>
      <c r="E16" s="29">
        <f t="shared" si="0"/>
        <v>49134.998221808935</v>
      </c>
      <c r="F16" s="31">
        <f t="shared" si="1"/>
        <v>3.552999999999993E-2</v>
      </c>
      <c r="G16" s="31"/>
      <c r="H16" s="26">
        <v>12</v>
      </c>
      <c r="I16" s="32">
        <f t="shared" si="5"/>
        <v>3.5529999999999964E-2</v>
      </c>
      <c r="K16" s="26">
        <v>12</v>
      </c>
      <c r="L16" s="32">
        <f t="shared" si="6"/>
        <v>1.3874999999999995E-2</v>
      </c>
    </row>
    <row r="17" spans="1:39" x14ac:dyDescent="0.3">
      <c r="A17" s="26">
        <v>13</v>
      </c>
      <c r="B17" s="26">
        <f t="shared" si="2"/>
        <v>2010</v>
      </c>
      <c r="C17" s="29">
        <f t="shared" si="3"/>
        <v>48089.693874444354</v>
      </c>
      <c r="D17" s="35">
        <f t="shared" si="4"/>
        <v>1.3500000000000057E-2</v>
      </c>
      <c r="E17" s="29">
        <f t="shared" si="0"/>
        <v>49776.800559794545</v>
      </c>
      <c r="F17" s="31">
        <f t="shared" si="1"/>
        <v>3.5082499999999926E-2</v>
      </c>
      <c r="G17" s="31"/>
      <c r="H17" s="26">
        <v>13</v>
      </c>
      <c r="I17" s="32">
        <f t="shared" si="5"/>
        <v>3.5082499999999961E-2</v>
      </c>
      <c r="K17" s="26">
        <v>13</v>
      </c>
      <c r="L17" s="32">
        <f t="shared" si="6"/>
        <v>1.3499999999999995E-2</v>
      </c>
    </row>
    <row r="18" spans="1:39" x14ac:dyDescent="0.3">
      <c r="A18" s="26">
        <v>14</v>
      </c>
      <c r="B18" s="26">
        <f t="shared" si="2"/>
        <v>2009</v>
      </c>
      <c r="C18" s="29">
        <f t="shared" si="3"/>
        <v>48720.871106546438</v>
      </c>
      <c r="D18" s="35">
        <f t="shared" si="4"/>
        <v>1.3125000000000029E-2</v>
      </c>
      <c r="E18" s="29">
        <f t="shared" si="0"/>
        <v>50408.318477321671</v>
      </c>
      <c r="F18" s="31">
        <f t="shared" si="1"/>
        <v>3.4634999999999944E-2</v>
      </c>
      <c r="G18" s="31"/>
      <c r="H18" s="26">
        <v>14</v>
      </c>
      <c r="I18" s="32">
        <f t="shared" si="5"/>
        <v>3.4634999999999957E-2</v>
      </c>
      <c r="K18" s="26">
        <v>14</v>
      </c>
      <c r="L18" s="32">
        <f t="shared" si="6"/>
        <v>1.3124999999999994E-2</v>
      </c>
    </row>
    <row r="19" spans="1:39" s="90" customFormat="1" x14ac:dyDescent="0.3">
      <c r="A19" s="90">
        <v>15</v>
      </c>
      <c r="B19" s="90">
        <f t="shared" si="2"/>
        <v>2008</v>
      </c>
      <c r="C19" s="91">
        <f t="shared" si="3"/>
        <v>49342.062213154903</v>
      </c>
      <c r="D19" s="92">
        <f t="shared" si="4"/>
        <v>1.2749999999999956E-2</v>
      </c>
      <c r="E19" s="91">
        <f t="shared" si="0"/>
        <v>51028.943965067134</v>
      </c>
      <c r="F19" s="93">
        <f t="shared" si="1"/>
        <v>3.4187499999999961E-2</v>
      </c>
      <c r="G19" s="93"/>
      <c r="H19" s="90">
        <v>15</v>
      </c>
      <c r="I19" s="96">
        <f t="shared" si="5"/>
        <v>3.4187499999999954E-2</v>
      </c>
      <c r="K19" s="90">
        <v>15</v>
      </c>
      <c r="L19" s="96">
        <f t="shared" si="6"/>
        <v>1.2749999999999994E-2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3">
      <c r="A20" s="26">
        <v>16</v>
      </c>
      <c r="B20" s="39">
        <f t="shared" si="2"/>
        <v>2007</v>
      </c>
      <c r="C20" s="29">
        <f t="shared" si="3"/>
        <v>49952.670233042692</v>
      </c>
      <c r="D20" s="35">
        <f t="shared" si="4"/>
        <v>1.2374999999999959E-2</v>
      </c>
      <c r="E20" s="29">
        <f t="shared" si="0"/>
        <v>51638.073326705548</v>
      </c>
      <c r="F20" s="31">
        <f t="shared" si="1"/>
        <v>3.3739999999999895E-2</v>
      </c>
      <c r="G20" s="31"/>
      <c r="H20" s="26">
        <v>16</v>
      </c>
      <c r="I20" s="32">
        <f t="shared" si="5"/>
        <v>3.3739999999999951E-2</v>
      </c>
      <c r="K20" s="26">
        <v>16</v>
      </c>
      <c r="L20" s="32">
        <f t="shared" si="6"/>
        <v>1.2374999999999994E-2</v>
      </c>
    </row>
    <row r="21" spans="1:39" x14ac:dyDescent="0.3">
      <c r="A21" s="26">
        <v>17</v>
      </c>
      <c r="B21" s="26">
        <f t="shared" si="2"/>
        <v>2006</v>
      </c>
      <c r="C21" s="29">
        <f t="shared" si="3"/>
        <v>50552.102275839206</v>
      </c>
      <c r="D21" s="35">
        <f t="shared" si="4"/>
        <v>1.2000000000000033E-2</v>
      </c>
      <c r="E21" s="29">
        <f t="shared" si="0"/>
        <v>52235.108140857577</v>
      </c>
      <c r="F21" s="31">
        <f t="shared" si="1"/>
        <v>3.3292499999999885E-2</v>
      </c>
      <c r="G21" s="31"/>
      <c r="H21" s="26">
        <v>17</v>
      </c>
      <c r="I21" s="32">
        <f t="shared" si="5"/>
        <v>3.3292499999999947E-2</v>
      </c>
      <c r="K21" s="26">
        <v>17</v>
      </c>
      <c r="L21" s="32">
        <f t="shared" si="6"/>
        <v>1.1999999999999993E-2</v>
      </c>
    </row>
    <row r="22" spans="1:39" x14ac:dyDescent="0.3">
      <c r="A22" s="26">
        <v>18</v>
      </c>
      <c r="B22" s="26">
        <f t="shared" si="2"/>
        <v>2005</v>
      </c>
      <c r="C22" s="29">
        <f t="shared" si="3"/>
        <v>51139.770464795838</v>
      </c>
      <c r="D22" s="35">
        <f t="shared" si="4"/>
        <v>1.1625000000000017E-2</v>
      </c>
      <c r="E22" s="29">
        <f t="shared" si="0"/>
        <v>52819.456225712056</v>
      </c>
      <c r="F22" s="31">
        <f t="shared" si="1"/>
        <v>3.2844999999999971E-2</v>
      </c>
      <c r="G22" s="31"/>
      <c r="H22" s="26">
        <v>18</v>
      </c>
      <c r="I22" s="32">
        <f t="shared" si="5"/>
        <v>3.2844999999999944E-2</v>
      </c>
      <c r="K22" s="26">
        <v>18</v>
      </c>
      <c r="L22" s="32">
        <f t="shared" si="6"/>
        <v>1.1624999999999993E-2</v>
      </c>
    </row>
    <row r="23" spans="1:39" x14ac:dyDescent="0.3">
      <c r="A23" s="26">
        <v>19</v>
      </c>
      <c r="B23" s="26">
        <f t="shared" si="2"/>
        <v>2004</v>
      </c>
      <c r="C23" s="29">
        <f t="shared" si="3"/>
        <v>51715.09288252479</v>
      </c>
      <c r="D23" s="35">
        <f t="shared" si="4"/>
        <v>1.1249999999999979E-2</v>
      </c>
      <c r="E23" s="29">
        <f t="shared" si="0"/>
        <v>53390.532604186381</v>
      </c>
      <c r="F23" s="31">
        <f t="shared" si="1"/>
        <v>3.2397499999999878E-2</v>
      </c>
      <c r="G23" s="31"/>
      <c r="H23" s="26">
        <v>19</v>
      </c>
      <c r="I23" s="32">
        <f t="shared" si="5"/>
        <v>3.239749999999994E-2</v>
      </c>
      <c r="K23" s="26">
        <v>19</v>
      </c>
      <c r="L23" s="32">
        <f t="shared" si="6"/>
        <v>1.1249999999999993E-2</v>
      </c>
    </row>
    <row r="24" spans="1:39" s="90" customFormat="1" x14ac:dyDescent="0.3">
      <c r="A24" s="90">
        <v>20</v>
      </c>
      <c r="B24" s="90">
        <f t="shared" si="2"/>
        <v>2003</v>
      </c>
      <c r="C24" s="91">
        <f t="shared" si="3"/>
        <v>52277.494517622246</v>
      </c>
      <c r="D24" s="92">
        <f t="shared" si="4"/>
        <v>1.0874999999999982E-2</v>
      </c>
      <c r="E24" s="91">
        <f t="shared" si="0"/>
        <v>53947.760467460277</v>
      </c>
      <c r="F24" s="93">
        <f t="shared" si="1"/>
        <v>3.1949999999999999E-2</v>
      </c>
      <c r="G24" s="93"/>
      <c r="H24" s="90">
        <v>20</v>
      </c>
      <c r="I24" s="96">
        <f t="shared" si="5"/>
        <v>3.1949999999999937E-2</v>
      </c>
      <c r="K24" s="90">
        <v>20</v>
      </c>
      <c r="L24" s="96">
        <f t="shared" si="6"/>
        <v>1.0874999999999992E-2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3">
      <c r="A25" s="26">
        <v>21</v>
      </c>
      <c r="B25" s="39">
        <f t="shared" si="2"/>
        <v>2002</v>
      </c>
      <c r="C25" s="29">
        <f t="shared" si="3"/>
        <v>52826.408210057278</v>
      </c>
      <c r="D25" s="35">
        <f t="shared" si="4"/>
        <v>1.0499999999999959E-2</v>
      </c>
      <c r="E25" s="29">
        <f t="shared" si="0"/>
        <v>54490.572134694601</v>
      </c>
      <c r="F25" s="31">
        <f t="shared" si="1"/>
        <v>3.1502499999999885E-2</v>
      </c>
      <c r="G25" s="31"/>
      <c r="H25" s="26">
        <v>21</v>
      </c>
      <c r="I25" s="32">
        <f t="shared" si="5"/>
        <v>3.1502499999999933E-2</v>
      </c>
      <c r="K25" s="26">
        <v>21</v>
      </c>
      <c r="L25" s="32">
        <f t="shared" si="6"/>
        <v>1.0499999999999992E-2</v>
      </c>
    </row>
    <row r="26" spans="1:39" x14ac:dyDescent="0.3">
      <c r="A26" s="26">
        <v>22</v>
      </c>
      <c r="B26" s="26">
        <f t="shared" si="2"/>
        <v>2001</v>
      </c>
      <c r="C26" s="29">
        <f t="shared" si="3"/>
        <v>53361.275593184109</v>
      </c>
      <c r="D26" s="35">
        <f t="shared" si="4"/>
        <v>1.012500000000003E-2</v>
      </c>
      <c r="E26" s="29">
        <f t="shared" si="0"/>
        <v>55018.410006730439</v>
      </c>
      <c r="F26" s="31">
        <f t="shared" si="1"/>
        <v>3.1054999999999944E-2</v>
      </c>
      <c r="G26" s="31"/>
      <c r="H26" s="26">
        <v>22</v>
      </c>
      <c r="I26" s="32">
        <f t="shared" si="5"/>
        <v>3.1054999999999933E-2</v>
      </c>
      <c r="K26" s="26">
        <v>22</v>
      </c>
      <c r="L26" s="32">
        <f t="shared" si="6"/>
        <v>1.0124999999999992E-2</v>
      </c>
    </row>
    <row r="27" spans="1:39" x14ac:dyDescent="0.3">
      <c r="A27" s="26">
        <v>23</v>
      </c>
      <c r="B27" s="26">
        <f t="shared" si="2"/>
        <v>2000</v>
      </c>
      <c r="C27" s="29">
        <f t="shared" si="3"/>
        <v>53881.548030217651</v>
      </c>
      <c r="D27" s="35">
        <f t="shared" si="4"/>
        <v>9.7499999999999393E-3</v>
      </c>
      <c r="E27" s="29">
        <f t="shared" si="0"/>
        <v>55530.727511552534</v>
      </c>
      <c r="F27" s="31">
        <f t="shared" si="1"/>
        <v>3.0607499999999919E-2</v>
      </c>
      <c r="G27" s="31"/>
      <c r="H27" s="26">
        <v>23</v>
      </c>
      <c r="I27" s="32">
        <f t="shared" si="5"/>
        <v>3.0607499999999933E-2</v>
      </c>
      <c r="K27" s="26">
        <v>23</v>
      </c>
      <c r="L27" s="32">
        <f t="shared" si="6"/>
        <v>9.7499999999999913E-3</v>
      </c>
    </row>
    <row r="28" spans="1:39" x14ac:dyDescent="0.3">
      <c r="A28" s="26">
        <v>24</v>
      </c>
      <c r="B28" s="26">
        <f t="shared" si="2"/>
        <v>1999</v>
      </c>
      <c r="C28" s="29">
        <f t="shared" si="3"/>
        <v>54386.687543000939</v>
      </c>
      <c r="D28" s="35">
        <f t="shared" si="4"/>
        <v>9.3749999999999441E-3</v>
      </c>
      <c r="E28" s="29">
        <f t="shared" si="0"/>
        <v>56026.990039297845</v>
      </c>
      <c r="F28" s="31">
        <f t="shared" si="1"/>
        <v>3.0159999999999968E-2</v>
      </c>
      <c r="G28" s="31"/>
      <c r="H28" s="26">
        <v>24</v>
      </c>
      <c r="I28" s="32">
        <f t="shared" si="5"/>
        <v>3.0159999999999933E-2</v>
      </c>
      <c r="K28" s="26">
        <v>24</v>
      </c>
      <c r="L28" s="32">
        <f t="shared" si="6"/>
        <v>9.374999999999991E-3</v>
      </c>
    </row>
    <row r="29" spans="1:39" s="90" customFormat="1" x14ac:dyDescent="0.3">
      <c r="A29" s="90">
        <v>25</v>
      </c>
      <c r="B29" s="90">
        <f t="shared" si="2"/>
        <v>1998</v>
      </c>
      <c r="C29" s="91">
        <f t="shared" si="3"/>
        <v>54876.167730887944</v>
      </c>
      <c r="D29" s="92">
        <f t="shared" si="4"/>
        <v>8.9999999999999507E-3</v>
      </c>
      <c r="E29" s="91">
        <f t="shared" si="0"/>
        <v>56506.675864591947</v>
      </c>
      <c r="F29" s="93">
        <f t="shared" si="1"/>
        <v>2.9712499999999906E-2</v>
      </c>
      <c r="G29" s="93"/>
      <c r="H29" s="90">
        <v>25</v>
      </c>
      <c r="I29" s="96">
        <f t="shared" si="5"/>
        <v>2.9712499999999933E-2</v>
      </c>
      <c r="K29" s="90">
        <v>25</v>
      </c>
      <c r="L29" s="96">
        <f t="shared" si="6"/>
        <v>8.9999999999999906E-3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3">
      <c r="A30" s="26">
        <v>26</v>
      </c>
      <c r="B30" s="39">
        <f t="shared" si="2"/>
        <v>1997</v>
      </c>
      <c r="C30" s="29">
        <f t="shared" si="3"/>
        <v>55349.474677566854</v>
      </c>
      <c r="D30" s="35">
        <f t="shared" si="4"/>
        <v>8.6250000000000146E-3</v>
      </c>
      <c r="E30" s="29">
        <f t="shared" si="0"/>
        <v>56969.277054005841</v>
      </c>
      <c r="F30" s="31">
        <f t="shared" si="1"/>
        <v>2.9264999999999878E-2</v>
      </c>
      <c r="G30" s="31"/>
      <c r="H30" s="26">
        <v>26</v>
      </c>
      <c r="I30" s="32">
        <f t="shared" si="5"/>
        <v>2.9264999999999933E-2</v>
      </c>
      <c r="K30" s="26">
        <v>26</v>
      </c>
      <c r="L30" s="32">
        <f t="shared" si="6"/>
        <v>8.6249999999999903E-3</v>
      </c>
    </row>
    <row r="31" spans="1:39" x14ac:dyDescent="0.3">
      <c r="A31" s="26">
        <v>27</v>
      </c>
      <c r="B31" s="26">
        <f t="shared" si="2"/>
        <v>1996</v>
      </c>
      <c r="C31" s="29">
        <f t="shared" si="3"/>
        <v>55806.107843656777</v>
      </c>
      <c r="D31" s="35">
        <f t="shared" si="4"/>
        <v>8.2499999999999397E-3</v>
      </c>
      <c r="E31" s="29">
        <f t="shared" si="0"/>
        <v>57414.300356441352</v>
      </c>
      <c r="F31" s="31">
        <f t="shared" si="1"/>
        <v>2.881749999999993E-2</v>
      </c>
      <c r="G31" s="31"/>
      <c r="H31" s="26">
        <v>27</v>
      </c>
      <c r="I31" s="32">
        <f t="shared" si="5"/>
        <v>2.8817499999999933E-2</v>
      </c>
      <c r="K31" s="26">
        <v>27</v>
      </c>
      <c r="L31" s="32">
        <f t="shared" si="6"/>
        <v>8.24999999999999E-3</v>
      </c>
    </row>
    <row r="32" spans="1:39" x14ac:dyDescent="0.3">
      <c r="A32" s="26">
        <v>28</v>
      </c>
      <c r="B32" s="26">
        <f t="shared" si="2"/>
        <v>1995</v>
      </c>
      <c r="C32" s="29">
        <f t="shared" si="3"/>
        <v>56245.580942925575</v>
      </c>
      <c r="D32" s="35">
        <f t="shared" si="4"/>
        <v>7.8750000000000209E-3</v>
      </c>
      <c r="E32" s="29">
        <f t="shared" si="0"/>
        <v>57841.26807427637</v>
      </c>
      <c r="F32" s="31">
        <f t="shared" si="1"/>
        <v>2.8369999999999927E-2</v>
      </c>
      <c r="G32" s="31"/>
      <c r="H32" s="26">
        <v>28</v>
      </c>
      <c r="I32" s="32">
        <f t="shared" si="5"/>
        <v>2.8369999999999933E-2</v>
      </c>
      <c r="K32" s="26">
        <v>28</v>
      </c>
      <c r="L32" s="32">
        <f t="shared" si="6"/>
        <v>7.8749999999999896E-3</v>
      </c>
    </row>
    <row r="33" spans="1:39" x14ac:dyDescent="0.3">
      <c r="A33" s="26">
        <v>29</v>
      </c>
      <c r="B33" s="26">
        <f t="shared" si="2"/>
        <v>1994</v>
      </c>
      <c r="C33" s="29">
        <f t="shared" si="3"/>
        <v>56667.422799997519</v>
      </c>
      <c r="D33" s="35">
        <f t="shared" si="4"/>
        <v>7.5000000000000405E-3</v>
      </c>
      <c r="E33" s="29">
        <f t="shared" si="0"/>
        <v>58249.718913130448</v>
      </c>
      <c r="F33" s="31">
        <f t="shared" si="1"/>
        <v>2.7922499999999961E-2</v>
      </c>
      <c r="G33" s="31"/>
      <c r="H33" s="26">
        <v>29</v>
      </c>
      <c r="I33" s="32">
        <f t="shared" si="5"/>
        <v>2.7922499999999933E-2</v>
      </c>
      <c r="K33" s="26">
        <v>29</v>
      </c>
      <c r="L33" s="32">
        <f t="shared" si="6"/>
        <v>7.4999999999999893E-3</v>
      </c>
    </row>
    <row r="34" spans="1:39" s="90" customFormat="1" x14ac:dyDescent="0.3">
      <c r="A34" s="90">
        <v>30</v>
      </c>
      <c r="B34" s="90">
        <f t="shared" si="2"/>
        <v>1993</v>
      </c>
      <c r="C34" s="91">
        <f t="shared" si="3"/>
        <v>57071.178187447498</v>
      </c>
      <c r="D34" s="92">
        <f t="shared" si="4"/>
        <v>7.1249999999999421E-3</v>
      </c>
      <c r="E34" s="91">
        <f t="shared" si="0"/>
        <v>58639.208808147618</v>
      </c>
      <c r="F34" s="93">
        <f t="shared" si="1"/>
        <v>2.7474999999999989E-2</v>
      </c>
      <c r="G34" s="93"/>
      <c r="H34" s="90">
        <v>30</v>
      </c>
      <c r="I34" s="96">
        <f t="shared" si="5"/>
        <v>2.7474999999999934E-2</v>
      </c>
      <c r="K34" s="90">
        <v>30</v>
      </c>
      <c r="L34" s="96">
        <f t="shared" si="6"/>
        <v>7.124999999999989E-3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3">
      <c r="A35" s="26">
        <v>31</v>
      </c>
      <c r="B35" s="39">
        <f t="shared" si="2"/>
        <v>1992</v>
      </c>
      <c r="C35" s="29">
        <f t="shared" si="3"/>
        <v>57456.408640212765</v>
      </c>
      <c r="D35" s="35">
        <f t="shared" si="4"/>
        <v>6.7499999999999331E-3</v>
      </c>
      <c r="E35" s="29">
        <f t="shared" si="0"/>
        <v>59009.311724736115</v>
      </c>
      <c r="F35" s="31">
        <f t="shared" si="1"/>
        <v>2.7027499999999993E-2</v>
      </c>
      <c r="G35" s="31"/>
      <c r="H35" s="26">
        <v>31</v>
      </c>
      <c r="I35" s="32">
        <f t="shared" si="5"/>
        <v>2.7027499999999934E-2</v>
      </c>
      <c r="K35" s="26">
        <v>31</v>
      </c>
      <c r="L35" s="32">
        <f t="shared" si="6"/>
        <v>6.7499999999999886E-3</v>
      </c>
    </row>
    <row r="36" spans="1:39" x14ac:dyDescent="0.3">
      <c r="A36" s="26">
        <v>32</v>
      </c>
      <c r="B36" s="26">
        <f t="shared" si="2"/>
        <v>1991</v>
      </c>
      <c r="C36" s="29">
        <f t="shared" si="3"/>
        <v>57822.693245294118</v>
      </c>
      <c r="D36" s="35">
        <f t="shared" si="4"/>
        <v>6.3749999999999449E-3</v>
      </c>
      <c r="E36" s="29">
        <f t="shared" si="0"/>
        <v>59359.620431754032</v>
      </c>
      <c r="F36" s="31">
        <f t="shared" si="1"/>
        <v>2.6579999999999937E-2</v>
      </c>
      <c r="G36" s="31"/>
      <c r="H36" s="26">
        <v>32</v>
      </c>
      <c r="I36" s="32">
        <f t="shared" si="5"/>
        <v>2.6579999999999934E-2</v>
      </c>
      <c r="K36" s="26">
        <v>32</v>
      </c>
      <c r="L36" s="32">
        <f t="shared" si="6"/>
        <v>6.3749999999999883E-3</v>
      </c>
    </row>
    <row r="37" spans="1:39" x14ac:dyDescent="0.3">
      <c r="A37" s="26">
        <v>33</v>
      </c>
      <c r="B37" s="26">
        <f t="shared" si="2"/>
        <v>1990</v>
      </c>
      <c r="C37" s="29">
        <f t="shared" si="3"/>
        <v>58169.629404765881</v>
      </c>
      <c r="D37" s="35">
        <f t="shared" si="4"/>
        <v>5.9999999999999698E-3</v>
      </c>
      <c r="E37" s="29">
        <f t="shared" si="0"/>
        <v>59689.747245185921</v>
      </c>
      <c r="F37" s="31">
        <f t="shared" si="1"/>
        <v>2.6132499999999923E-2</v>
      </c>
      <c r="G37" s="31"/>
      <c r="H37" s="26">
        <v>33</v>
      </c>
      <c r="I37" s="32">
        <f t="shared" si="5"/>
        <v>2.6132499999999934E-2</v>
      </c>
      <c r="K37" s="26">
        <v>33</v>
      </c>
      <c r="L37" s="32">
        <f t="shared" si="6"/>
        <v>5.999999999999988E-3</v>
      </c>
    </row>
    <row r="38" spans="1:39" x14ac:dyDescent="0.3">
      <c r="A38" s="26">
        <v>34</v>
      </c>
      <c r="B38" s="26">
        <f t="shared" si="2"/>
        <v>1989</v>
      </c>
      <c r="C38" s="29">
        <f t="shared" si="3"/>
        <v>58496.833570167692</v>
      </c>
      <c r="D38" s="35">
        <f t="shared" si="4"/>
        <v>5.625000000000038E-3</v>
      </c>
      <c r="E38" s="29">
        <f t="shared" si="0"/>
        <v>59999.324740417447</v>
      </c>
      <c r="F38" s="31">
        <f t="shared" si="1"/>
        <v>2.5684999999999975E-2</v>
      </c>
      <c r="G38" s="31"/>
      <c r="H38" s="26">
        <v>34</v>
      </c>
      <c r="I38" s="32">
        <f t="shared" si="5"/>
        <v>2.5684999999999934E-2</v>
      </c>
      <c r="K38" s="26">
        <v>34</v>
      </c>
      <c r="L38" s="32">
        <f t="shared" si="6"/>
        <v>5.6249999999999876E-3</v>
      </c>
    </row>
    <row r="39" spans="1:39" s="90" customFormat="1" x14ac:dyDescent="0.3">
      <c r="A39" s="90">
        <v>35</v>
      </c>
      <c r="B39" s="90">
        <f t="shared" si="2"/>
        <v>1988</v>
      </c>
      <c r="C39" s="91">
        <f t="shared" si="3"/>
        <v>58803.941946411069</v>
      </c>
      <c r="D39" s="92">
        <f t="shared" si="4"/>
        <v>5.2499999999999465E-3</v>
      </c>
      <c r="E39" s="91">
        <f t="shared" si="0"/>
        <v>60288.006431283611</v>
      </c>
      <c r="F39" s="93">
        <f t="shared" si="1"/>
        <v>2.5237499999999882E-2</v>
      </c>
      <c r="G39" s="93"/>
      <c r="H39" s="90">
        <v>35</v>
      </c>
      <c r="I39" s="96">
        <f t="shared" si="5"/>
        <v>2.5237499999999934E-2</v>
      </c>
      <c r="K39" s="90">
        <v>35</v>
      </c>
      <c r="L39" s="96">
        <f t="shared" si="6"/>
        <v>5.2499999999999873E-3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3">
      <c r="A40" s="26">
        <v>36</v>
      </c>
      <c r="B40" s="39">
        <f t="shared" si="2"/>
        <v>1987</v>
      </c>
      <c r="C40" s="29">
        <f t="shared" si="3"/>
        <v>59090.611163399823</v>
      </c>
      <c r="D40" s="35">
        <f t="shared" si="4"/>
        <v>4.8749999999999965E-3</v>
      </c>
      <c r="E40" s="29">
        <f t="shared" si="0"/>
        <v>60555.467414140498</v>
      </c>
      <c r="F40" s="31">
        <f t="shared" si="1"/>
        <v>2.4789999999999889E-2</v>
      </c>
      <c r="G40" s="31"/>
      <c r="H40" s="26">
        <v>36</v>
      </c>
      <c r="I40" s="32">
        <f t="shared" si="5"/>
        <v>2.4789999999999934E-2</v>
      </c>
      <c r="K40" s="26">
        <v>36</v>
      </c>
      <c r="L40" s="32">
        <f t="shared" si="6"/>
        <v>4.874999999999987E-3</v>
      </c>
    </row>
    <row r="41" spans="1:39" x14ac:dyDescent="0.3">
      <c r="A41" s="26">
        <v>37</v>
      </c>
      <c r="B41" s="26">
        <f t="shared" si="2"/>
        <v>1986</v>
      </c>
      <c r="C41" s="29">
        <f t="shared" si="3"/>
        <v>59356.518913635118</v>
      </c>
      <c r="D41" s="35">
        <f t="shared" si="4"/>
        <v>4.4999999999999407E-3</v>
      </c>
      <c r="E41" s="29">
        <f t="shared" si="0"/>
        <v>60801.404975290279</v>
      </c>
      <c r="F41" s="31">
        <f t="shared" si="1"/>
        <v>2.4342499999999968E-2</v>
      </c>
      <c r="G41" s="31"/>
      <c r="H41" s="26">
        <v>37</v>
      </c>
      <c r="I41" s="32">
        <f t="shared" si="5"/>
        <v>2.4342499999999934E-2</v>
      </c>
      <c r="K41" s="26">
        <v>37</v>
      </c>
      <c r="L41" s="32">
        <f t="shared" si="6"/>
        <v>4.4999999999999866E-3</v>
      </c>
    </row>
    <row r="42" spans="1:39" x14ac:dyDescent="0.3">
      <c r="A42" s="26">
        <v>38</v>
      </c>
      <c r="B42" s="26">
        <f t="shared" si="2"/>
        <v>1985</v>
      </c>
      <c r="C42" s="29">
        <f t="shared" si="3"/>
        <v>59601.364554153864</v>
      </c>
      <c r="D42" s="35">
        <f t="shared" si="4"/>
        <v>4.1250000000000227E-3</v>
      </c>
      <c r="E42" s="29">
        <f t="shared" si="0"/>
        <v>61025.539160175365</v>
      </c>
      <c r="F42" s="31">
        <f t="shared" si="1"/>
        <v>2.3894999999999906E-2</v>
      </c>
      <c r="G42" s="31"/>
      <c r="H42" s="26">
        <v>38</v>
      </c>
      <c r="I42" s="32">
        <f t="shared" si="5"/>
        <v>2.3894999999999934E-2</v>
      </c>
      <c r="K42" s="26">
        <v>38</v>
      </c>
      <c r="L42" s="32">
        <f t="shared" si="6"/>
        <v>4.1249999999999863E-3</v>
      </c>
    </row>
    <row r="43" spans="1:39" x14ac:dyDescent="0.3">
      <c r="A43" s="26">
        <v>39</v>
      </c>
      <c r="B43" s="26">
        <f t="shared" si="2"/>
        <v>1984</v>
      </c>
      <c r="C43" s="29">
        <f t="shared" si="3"/>
        <v>59824.869671231943</v>
      </c>
      <c r="D43" s="35">
        <f t="shared" si="4"/>
        <v>3.7500000000000324E-3</v>
      </c>
      <c r="E43" s="29">
        <f t="shared" si="0"/>
        <v>61227.613302848149</v>
      </c>
      <c r="F43" s="31">
        <f t="shared" si="1"/>
        <v>2.3447499999999913E-2</v>
      </c>
      <c r="G43" s="31"/>
      <c r="H43" s="26">
        <v>39</v>
      </c>
      <c r="I43" s="32">
        <f t="shared" si="5"/>
        <v>2.3447499999999934E-2</v>
      </c>
      <c r="K43" s="26">
        <v>39</v>
      </c>
      <c r="L43" s="32">
        <f t="shared" si="6"/>
        <v>3.7499999999999864E-3</v>
      </c>
    </row>
    <row r="44" spans="1:39" s="90" customFormat="1" x14ac:dyDescent="0.3">
      <c r="A44" s="90">
        <v>40</v>
      </c>
      <c r="B44" s="90">
        <f t="shared" si="2"/>
        <v>1983</v>
      </c>
      <c r="C44" s="91">
        <f t="shared" si="3"/>
        <v>60026.778606372347</v>
      </c>
      <c r="D44" s="92">
        <f t="shared" si="4"/>
        <v>3.3749999999999301E-3</v>
      </c>
      <c r="E44" s="91">
        <f t="shared" si="0"/>
        <v>61407.394514318905</v>
      </c>
      <c r="F44" s="93">
        <f t="shared" si="1"/>
        <v>2.2999999999999899E-2</v>
      </c>
      <c r="G44" s="93"/>
      <c r="H44" s="90">
        <v>40</v>
      </c>
      <c r="I44" s="96">
        <f t="shared" si="5"/>
        <v>2.2999999999999934E-2</v>
      </c>
      <c r="K44" s="90">
        <v>40</v>
      </c>
      <c r="L44" s="96">
        <f t="shared" si="6"/>
        <v>3.3749999999999865E-3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ht="21" customHeight="1" x14ac:dyDescent="0.3">
      <c r="A45" s="315" t="s">
        <v>71</v>
      </c>
      <c r="B45" s="314" t="s">
        <v>73</v>
      </c>
      <c r="C45" s="313" t="s">
        <v>72</v>
      </c>
      <c r="D45" s="313"/>
      <c r="E45" s="313"/>
      <c r="L45" s="32"/>
    </row>
    <row r="46" spans="1:39" ht="14" customHeight="1" x14ac:dyDescent="0.3">
      <c r="A46" s="315"/>
      <c r="B46" s="314"/>
      <c r="C46" s="313"/>
      <c r="D46" s="313"/>
      <c r="E46" s="313"/>
    </row>
  </sheetData>
  <sheetProtection algorithmName="SHA-512" hashValue="EzTUl5nXQv0UE4xlVyXqyJ3RsJGcmHR4hUr58Aijbwu7bmuZw7XhfcrGwHPauz9Wed6edxmtKw20WP1mDSlmAw==" saltValue="Gc4XOI4f7OR0t7P9lmZNdQ==" spinCount="100000" sheet="1" objects="1" scenarios="1"/>
  <mergeCells count="6">
    <mergeCell ref="A1:N1"/>
    <mergeCell ref="C45:E46"/>
    <mergeCell ref="B45:B46"/>
    <mergeCell ref="A45:A46"/>
    <mergeCell ref="A2:B2"/>
    <mergeCell ref="E2:J2"/>
  </mergeCells>
  <pageMargins left="0.7" right="0.7" top="0.75" bottom="0.75" header="0.3" footer="0.3"/>
  <pageSetup scale="81" orientation="portrait" r:id="rId1"/>
  <headerFooter>
    <oddHeader xml:space="preserve">&amp;CSalary Guideline Proposal 
Ministers of Word and Sacrament and Ministers of Word and Service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9C8597577C6499D8E9DCE39CB62ED" ma:contentTypeVersion="14" ma:contentTypeDescription="Create a new document." ma:contentTypeScope="" ma:versionID="6b54a4b41787125c56c20df79d5cd2a9">
  <xsd:schema xmlns:xsd="http://www.w3.org/2001/XMLSchema" xmlns:xs="http://www.w3.org/2001/XMLSchema" xmlns:p="http://schemas.microsoft.com/office/2006/metadata/properties" xmlns:ns3="99e0e4f8-7818-45dd-85c2-6cd60f92ff05" xmlns:ns4="586be433-d661-4ae2-92e4-1deceefa57a0" targetNamespace="http://schemas.microsoft.com/office/2006/metadata/properties" ma:root="true" ma:fieldsID="6afe1abe352365ec0681bb7fec51511f" ns3:_="" ns4:_="">
    <xsd:import namespace="99e0e4f8-7818-45dd-85c2-6cd60f92ff05"/>
    <xsd:import namespace="586be433-d661-4ae2-92e4-1deceefa57a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0e4f8-7818-45dd-85c2-6cd60f92ff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be433-d661-4ae2-92e4-1deceefa57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7FD7C4-B867-4B52-B91D-86A2AE1B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e0e4f8-7818-45dd-85c2-6cd60f92ff05"/>
    <ds:schemaRef ds:uri="586be433-d661-4ae2-92e4-1deceefa57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C27C27-7010-4597-A1C6-1D8064E0D1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743004-DF13-4F92-AF5B-0A4C26CE90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9e0e4f8-7818-45dd-85c2-6cd60f92ff05"/>
    <ds:schemaRef ds:uri="586be433-d661-4ae2-92e4-1deceefa57a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Directions</vt:lpstr>
      <vt:lpstr>Comp Worksheet-Parsonage</vt:lpstr>
      <vt:lpstr>Example with Parsonage</vt:lpstr>
      <vt:lpstr>Reverse Calculator</vt:lpstr>
      <vt:lpstr>2027 Minister Salary Table</vt:lpstr>
      <vt:lpstr>2026 Minister Salary Table</vt:lpstr>
      <vt:lpstr>2025 Minister Salary Table</vt:lpstr>
      <vt:lpstr>2024 Minister Salary Table</vt:lpstr>
      <vt:lpstr>2023 Minister Salary Table</vt:lpstr>
      <vt:lpstr>'2023 Minister Salary Table'!Print_Area</vt:lpstr>
      <vt:lpstr>'2024 Minister Salary Table'!Print_Area</vt:lpstr>
      <vt:lpstr>'2025 Minister Salary Table'!Print_Area</vt:lpstr>
      <vt:lpstr>'2026 Minister Salary Table'!Print_Area</vt:lpstr>
      <vt:lpstr>'2027 Minister Salary Table'!Print_Area</vt:lpstr>
      <vt:lpstr>'Comp Worksheet-Parsonage'!Print_Area</vt:lpstr>
      <vt:lpstr>'Reverse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NorSwiss Dairy</dc:creator>
  <cp:lastModifiedBy>Annelies Seffrood</cp:lastModifiedBy>
  <cp:lastPrinted>2025-02-07T18:42:05Z</cp:lastPrinted>
  <dcterms:created xsi:type="dcterms:W3CDTF">2022-09-07T15:34:05Z</dcterms:created>
  <dcterms:modified xsi:type="dcterms:W3CDTF">2026-06-29T15:23:00Z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0x0101001929C8597577C6499D8E9DCE39CB62ED</vt:lpwstr>
  </property>
</Properties>
</file>