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swissdairy-my.sharepoint.com/personal/annelies_norswissdairy_onmicrosoft_com/Documents/Anne Synod Compensation Committee/2027 Synod Guidelines/2027 Approved Documents/"/>
    </mc:Choice>
  </mc:AlternateContent>
  <xr:revisionPtr revIDLastSave="52" documentId="8_{578F01F6-24B3-4C40-B084-4927B12A6AED}" xr6:coauthVersionLast="47" xr6:coauthVersionMax="47" xr10:uidLastSave="{51FB3A9E-D006-4D2A-B37B-845E11165FC1}"/>
  <bookViews>
    <workbookView xWindow="-110" yWindow="-110" windowWidth="25820" windowHeight="15500" activeTab="3" xr2:uid="{7B1BD930-A8DD-4FE4-B8B6-A8AD7DC3BB4D}"/>
  </bookViews>
  <sheets>
    <sheet name="Directions" sheetId="4" r:id="rId1"/>
    <sheet name="Worksheet - NO Parsonage" sheetId="6" r:id="rId2"/>
    <sheet name="Example NO Parsonage " sheetId="5" r:id="rId3"/>
    <sheet name="Reverse Calculator" sheetId="10" r:id="rId4"/>
    <sheet name="2027 Minister Salary Table" sheetId="12" r:id="rId5"/>
    <sheet name="2026 Minister Salary Table" sheetId="11" r:id="rId6"/>
    <sheet name="2025 Minister Salary Table" sheetId="8" r:id="rId7"/>
    <sheet name="2024 Minister Salary Table" sheetId="7" r:id="rId8"/>
    <sheet name="2023 Minister Salary Table" sheetId="3" r:id="rId9"/>
  </sheets>
  <definedNames>
    <definedName name="_xlnm.Print_Area" localSheetId="8">'2023 Minister Salary Table'!$A:$G</definedName>
    <definedName name="_xlnm.Print_Area" localSheetId="7">'2024 Minister Salary Table'!$A:$N</definedName>
    <definedName name="_xlnm.Print_Area" localSheetId="6">'2025 Minister Salary Table'!$A:$H</definedName>
    <definedName name="_xlnm.Print_Area" localSheetId="5">'2026 Minister Salary Table'!$A:$H</definedName>
    <definedName name="_xlnm.Print_Area" localSheetId="4">'2027 Minister Salary Table'!$A:$H</definedName>
    <definedName name="_xlnm.Print_Area" localSheetId="2">'Example NO Parsonage '!$A$2:$AE$54</definedName>
    <definedName name="_xlnm.Print_Area" localSheetId="3">'Reverse Calculator'!$A$1:$U$44</definedName>
    <definedName name="_xlnm.Print_Area" localSheetId="1">'Worksheet - NO Parsonage'!$A$3:$AC$54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1" i="5" l="1"/>
  <c r="Y11" i="5"/>
  <c r="U11" i="5"/>
  <c r="O11" i="5"/>
  <c r="J11" i="5"/>
  <c r="R37" i="10"/>
  <c r="D37" i="10"/>
  <c r="O5" i="12"/>
  <c r="N6" i="12" s="1"/>
  <c r="N7" i="12" s="1"/>
  <c r="N8" i="12" s="1"/>
  <c r="N9" i="12" s="1"/>
  <c r="N10" i="12" s="1"/>
  <c r="N11" i="12" s="1"/>
  <c r="N12" i="12" s="1"/>
  <c r="N13" i="12" s="1"/>
  <c r="N14" i="12" s="1"/>
  <c r="N15" i="12" s="1"/>
  <c r="N16" i="12" s="1"/>
  <c r="N17" i="12" s="1"/>
  <c r="N18" i="12" s="1"/>
  <c r="N19" i="12" s="1"/>
  <c r="N20" i="12" s="1"/>
  <c r="N21" i="12" s="1"/>
  <c r="N22" i="12" s="1"/>
  <c r="N23" i="12" s="1"/>
  <c r="N24" i="12" s="1"/>
  <c r="N25" i="12" s="1"/>
  <c r="N26" i="12" s="1"/>
  <c r="N27" i="12" s="1"/>
  <c r="N28" i="12" s="1"/>
  <c r="N29" i="12" s="1"/>
  <c r="N30" i="12" s="1"/>
  <c r="N31" i="12" s="1"/>
  <c r="N32" i="12" s="1"/>
  <c r="N33" i="12" s="1"/>
  <c r="N34" i="12" s="1"/>
  <c r="N35" i="12" s="1"/>
  <c r="N36" i="12" s="1"/>
  <c r="N37" i="12" s="1"/>
  <c r="N38" i="12" s="1"/>
  <c r="N39" i="12" s="1"/>
  <c r="N40" i="12" s="1"/>
  <c r="N41" i="12" s="1"/>
  <c r="N42" i="12" s="1"/>
  <c r="N43" i="12" s="1"/>
  <c r="N44" i="12" s="1"/>
  <c r="C5" i="12"/>
  <c r="B5" i="12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L4" i="12"/>
  <c r="K5" i="12" s="1"/>
  <c r="K6" i="12" s="1"/>
  <c r="K7" i="12" s="1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E4" i="12"/>
  <c r="F4" i="12" s="1"/>
  <c r="E5" i="12" l="1"/>
  <c r="C6" i="12"/>
  <c r="G4" i="12"/>
  <c r="H4" i="12" s="1"/>
  <c r="E6" i="12" l="1"/>
  <c r="C7" i="12"/>
  <c r="F5" i="12"/>
  <c r="G5" i="12" l="1"/>
  <c r="H5" i="12" s="1"/>
  <c r="E7" i="12"/>
  <c r="C8" i="12"/>
  <c r="F6" i="12"/>
  <c r="G6" i="12" s="1"/>
  <c r="H6" i="12" s="1"/>
  <c r="E8" i="12" l="1"/>
  <c r="C9" i="12"/>
  <c r="F7" i="12"/>
  <c r="G7" i="12" s="1"/>
  <c r="F8" i="12" l="1"/>
  <c r="H7" i="12"/>
  <c r="P9" i="12"/>
  <c r="C10" i="12"/>
  <c r="E9" i="12"/>
  <c r="F9" i="12" l="1"/>
  <c r="G9" i="12" s="1"/>
  <c r="E10" i="12"/>
  <c r="C11" i="12"/>
  <c r="G8" i="12"/>
  <c r="H8" i="12" s="1"/>
  <c r="E11" i="12" l="1"/>
  <c r="C12" i="12"/>
  <c r="F10" i="12"/>
  <c r="G10" i="12"/>
  <c r="H10" i="12" s="1"/>
  <c r="H9" i="12"/>
  <c r="F11" i="12" l="1"/>
  <c r="E12" i="12"/>
  <c r="C13" i="12"/>
  <c r="F12" i="12" l="1"/>
  <c r="G11" i="12"/>
  <c r="H11" i="12" s="1"/>
  <c r="E13" i="12"/>
  <c r="C14" i="12"/>
  <c r="F13" i="12" l="1"/>
  <c r="G13" i="12" s="1"/>
  <c r="G12" i="12"/>
  <c r="H12" i="12" s="1"/>
  <c r="E14" i="12"/>
  <c r="C15" i="12"/>
  <c r="H13" i="12" l="1"/>
  <c r="E15" i="12"/>
  <c r="C16" i="12"/>
  <c r="F14" i="12"/>
  <c r="G14" i="12" l="1"/>
  <c r="H14" i="12" s="1"/>
  <c r="E16" i="12"/>
  <c r="C17" i="12"/>
  <c r="F15" i="12"/>
  <c r="G15" i="12" l="1"/>
  <c r="H15" i="12" s="1"/>
  <c r="E17" i="12"/>
  <c r="C18" i="12"/>
  <c r="F16" i="12"/>
  <c r="G16" i="12" l="1"/>
  <c r="H16" i="12" s="1"/>
  <c r="F17" i="12"/>
  <c r="G17" i="12"/>
  <c r="H17" i="12" s="1"/>
  <c r="E18" i="12"/>
  <c r="C19" i="12"/>
  <c r="E19" i="12" l="1"/>
  <c r="C20" i="12"/>
  <c r="F18" i="12"/>
  <c r="F19" i="12" l="1"/>
  <c r="G18" i="12"/>
  <c r="H18" i="12" s="1"/>
  <c r="E20" i="12"/>
  <c r="C21" i="12"/>
  <c r="E21" i="12" l="1"/>
  <c r="C22" i="12"/>
  <c r="F20" i="12"/>
  <c r="G20" i="12" s="1"/>
  <c r="G19" i="12"/>
  <c r="H19" i="12" s="1"/>
  <c r="H20" i="12" l="1"/>
  <c r="E22" i="12"/>
  <c r="C23" i="12"/>
  <c r="F21" i="12"/>
  <c r="G21" i="12" s="1"/>
  <c r="H21" i="12" l="1"/>
  <c r="E23" i="12"/>
  <c r="C24" i="12"/>
  <c r="F22" i="12"/>
  <c r="G22" i="12" s="1"/>
  <c r="H22" i="12" l="1"/>
  <c r="E24" i="12"/>
  <c r="C25" i="12"/>
  <c r="F23" i="12"/>
  <c r="G23" i="12"/>
  <c r="H23" i="12" l="1"/>
  <c r="E25" i="12"/>
  <c r="C26" i="12"/>
  <c r="F24" i="12"/>
  <c r="G24" i="12" l="1"/>
  <c r="H24" i="12" s="1"/>
  <c r="E26" i="12"/>
  <c r="C27" i="12"/>
  <c r="F25" i="12"/>
  <c r="G25" i="12" l="1"/>
  <c r="H25" i="12" s="1"/>
  <c r="E27" i="12"/>
  <c r="C28" i="12"/>
  <c r="F26" i="12"/>
  <c r="G26" i="12"/>
  <c r="H26" i="12" l="1"/>
  <c r="E28" i="12"/>
  <c r="C29" i="12"/>
  <c r="F27" i="12"/>
  <c r="G27" i="12" l="1"/>
  <c r="H27" i="12" s="1"/>
  <c r="E29" i="12"/>
  <c r="C30" i="12"/>
  <c r="F28" i="12"/>
  <c r="E30" i="12" l="1"/>
  <c r="C31" i="12"/>
  <c r="G28" i="12"/>
  <c r="H28" i="12" s="1"/>
  <c r="F29" i="12"/>
  <c r="G29" i="12" l="1"/>
  <c r="H29" i="12" s="1"/>
  <c r="F30" i="12"/>
  <c r="E31" i="12"/>
  <c r="C32" i="12"/>
  <c r="F31" i="12" l="1"/>
  <c r="G30" i="12"/>
  <c r="H30" i="12" s="1"/>
  <c r="E32" i="12"/>
  <c r="C33" i="12"/>
  <c r="E33" i="12" l="1"/>
  <c r="C34" i="12"/>
  <c r="F32" i="12"/>
  <c r="G32" i="12" s="1"/>
  <c r="G31" i="12"/>
  <c r="H31" i="12" s="1"/>
  <c r="H32" i="12" l="1"/>
  <c r="F33" i="12"/>
  <c r="E34" i="12"/>
  <c r="C35" i="12"/>
  <c r="E35" i="12" l="1"/>
  <c r="C36" i="12"/>
  <c r="L11" i="6" s="1"/>
  <c r="F34" i="12"/>
  <c r="G34" i="12"/>
  <c r="G33" i="12"/>
  <c r="H33" i="12" s="1"/>
  <c r="H34" i="12" l="1"/>
  <c r="E36" i="12"/>
  <c r="Q11" i="6" s="1"/>
  <c r="C37" i="12"/>
  <c r="F35" i="12"/>
  <c r="G35" i="12"/>
  <c r="H35" i="12" l="1"/>
  <c r="E37" i="12"/>
  <c r="C38" i="12"/>
  <c r="F36" i="12"/>
  <c r="G36" i="12"/>
  <c r="H36" i="12" l="1"/>
  <c r="E38" i="12"/>
  <c r="C39" i="12"/>
  <c r="F37" i="12"/>
  <c r="G37" i="12" l="1"/>
  <c r="H37" i="12" s="1"/>
  <c r="E39" i="12"/>
  <c r="C40" i="12"/>
  <c r="F38" i="12"/>
  <c r="G38" i="12"/>
  <c r="H38" i="12" l="1"/>
  <c r="E40" i="12"/>
  <c r="C41" i="12"/>
  <c r="F39" i="12"/>
  <c r="G39" i="12" s="1"/>
  <c r="H39" i="12" l="1"/>
  <c r="E41" i="12"/>
  <c r="C42" i="12"/>
  <c r="F40" i="12"/>
  <c r="G40" i="12" l="1"/>
  <c r="H40" i="12" s="1"/>
  <c r="E42" i="12"/>
  <c r="C43" i="12"/>
  <c r="F41" i="12"/>
  <c r="G41" i="12"/>
  <c r="H41" i="12" l="1"/>
  <c r="E43" i="12"/>
  <c r="C44" i="12"/>
  <c r="E44" i="12" s="1"/>
  <c r="F42" i="12"/>
  <c r="G42" i="12" l="1"/>
  <c r="H42" i="12" s="1"/>
  <c r="F44" i="12"/>
  <c r="G44" i="12"/>
  <c r="F43" i="12"/>
  <c r="H44" i="12" l="1"/>
  <c r="G43" i="12"/>
  <c r="H43" i="12" s="1"/>
  <c r="W18" i="6" l="1"/>
  <c r="AC13" i="5" l="1"/>
  <c r="Y32" i="5"/>
  <c r="J13" i="5"/>
  <c r="Q13" i="6" l="1"/>
  <c r="O5" i="11"/>
  <c r="N6" i="11" s="1"/>
  <c r="N7" i="11" s="1"/>
  <c r="N8" i="11" s="1"/>
  <c r="N9" i="11" s="1"/>
  <c r="N10" i="11" s="1"/>
  <c r="N11" i="11" s="1"/>
  <c r="N12" i="11" s="1"/>
  <c r="N13" i="11" s="1"/>
  <c r="N14" i="11" s="1"/>
  <c r="N15" i="11" s="1"/>
  <c r="N16" i="11" s="1"/>
  <c r="N17" i="11" s="1"/>
  <c r="N18" i="11" s="1"/>
  <c r="N19" i="11" s="1"/>
  <c r="N20" i="11" s="1"/>
  <c r="N21" i="11" s="1"/>
  <c r="N22" i="11" s="1"/>
  <c r="N23" i="11" s="1"/>
  <c r="N24" i="11" s="1"/>
  <c r="N25" i="11" s="1"/>
  <c r="N26" i="11" s="1"/>
  <c r="N27" i="11" s="1"/>
  <c r="N28" i="11" s="1"/>
  <c r="N29" i="11" s="1"/>
  <c r="N30" i="11" s="1"/>
  <c r="N31" i="11" s="1"/>
  <c r="N32" i="11" s="1"/>
  <c r="N33" i="11" s="1"/>
  <c r="N34" i="11" s="1"/>
  <c r="N35" i="11" s="1"/>
  <c r="N36" i="11" s="1"/>
  <c r="N37" i="11" s="1"/>
  <c r="N38" i="11" s="1"/>
  <c r="N39" i="11" s="1"/>
  <c r="N40" i="11" s="1"/>
  <c r="N41" i="11" s="1"/>
  <c r="N42" i="11" s="1"/>
  <c r="N43" i="11" s="1"/>
  <c r="N44" i="11" s="1"/>
  <c r="C5" i="11"/>
  <c r="B5" i="1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L4" i="11"/>
  <c r="K5" i="11" s="1"/>
  <c r="K6" i="11" s="1"/>
  <c r="K7" i="11" s="1"/>
  <c r="K8" i="11" s="1"/>
  <c r="K9" i="11" s="1"/>
  <c r="K10" i="11" s="1"/>
  <c r="K11" i="11" s="1"/>
  <c r="K12" i="11" s="1"/>
  <c r="K13" i="11" s="1"/>
  <c r="K14" i="11" s="1"/>
  <c r="K15" i="11" s="1"/>
  <c r="K16" i="11" s="1"/>
  <c r="K17" i="11" s="1"/>
  <c r="K18" i="11" s="1"/>
  <c r="K19" i="11" s="1"/>
  <c r="K20" i="11" s="1"/>
  <c r="K21" i="11" s="1"/>
  <c r="K22" i="11" s="1"/>
  <c r="K23" i="11" s="1"/>
  <c r="K24" i="11" s="1"/>
  <c r="K25" i="11" s="1"/>
  <c r="K26" i="11" s="1"/>
  <c r="K27" i="11" s="1"/>
  <c r="K28" i="11" s="1"/>
  <c r="K29" i="11" s="1"/>
  <c r="K30" i="11" s="1"/>
  <c r="K31" i="11" s="1"/>
  <c r="K32" i="11" s="1"/>
  <c r="K33" i="11" s="1"/>
  <c r="K34" i="11" s="1"/>
  <c r="K35" i="11" s="1"/>
  <c r="K36" i="11" s="1"/>
  <c r="K37" i="11" s="1"/>
  <c r="K38" i="11" s="1"/>
  <c r="K39" i="11" s="1"/>
  <c r="K40" i="11" s="1"/>
  <c r="K41" i="11" s="1"/>
  <c r="K42" i="11" s="1"/>
  <c r="K43" i="11" s="1"/>
  <c r="K44" i="11" s="1"/>
  <c r="E4" i="11"/>
  <c r="F4" i="11" s="1"/>
  <c r="L13" i="6" l="1"/>
  <c r="L18" i="6" s="1"/>
  <c r="C6" i="11"/>
  <c r="E5" i="11"/>
  <c r="G4" i="11"/>
  <c r="H4" i="11" s="1"/>
  <c r="F5" i="11" l="1"/>
  <c r="G5" i="11" s="1"/>
  <c r="E6" i="11"/>
  <c r="C7" i="11"/>
  <c r="F6" i="11" l="1"/>
  <c r="G6" i="11" s="1"/>
  <c r="H6" i="11" s="1"/>
  <c r="E7" i="11"/>
  <c r="C8" i="11"/>
  <c r="H5" i="11"/>
  <c r="E8" i="11" l="1"/>
  <c r="C9" i="11"/>
  <c r="F7" i="11"/>
  <c r="G7" i="11" l="1"/>
  <c r="H7" i="11" s="1"/>
  <c r="P9" i="11"/>
  <c r="E9" i="11"/>
  <c r="C10" i="11"/>
  <c r="F8" i="11"/>
  <c r="G8" i="11" s="1"/>
  <c r="F9" i="11" l="1"/>
  <c r="G9" i="11" s="1"/>
  <c r="H8" i="11"/>
  <c r="C11" i="11"/>
  <c r="E10" i="11"/>
  <c r="F10" i="11" l="1"/>
  <c r="G10" i="11" s="1"/>
  <c r="H10" i="11" s="1"/>
  <c r="E11" i="11"/>
  <c r="C12" i="11"/>
  <c r="H9" i="11"/>
  <c r="F11" i="11" l="1"/>
  <c r="C13" i="11"/>
  <c r="E12" i="11"/>
  <c r="F12" i="11" l="1"/>
  <c r="G11" i="11"/>
  <c r="H11" i="11" s="1"/>
  <c r="C14" i="11"/>
  <c r="E13" i="11"/>
  <c r="F13" i="11" l="1"/>
  <c r="G12" i="11"/>
  <c r="H12" i="11" s="1"/>
  <c r="C15" i="11"/>
  <c r="E14" i="11"/>
  <c r="G13" i="11" l="1"/>
  <c r="H13" i="11" s="1"/>
  <c r="F14" i="11"/>
  <c r="G14" i="11" s="1"/>
  <c r="C16" i="11"/>
  <c r="E15" i="11"/>
  <c r="F15" i="11" l="1"/>
  <c r="H14" i="11"/>
  <c r="E16" i="11"/>
  <c r="C17" i="11"/>
  <c r="F16" i="11" l="1"/>
  <c r="G16" i="11"/>
  <c r="C18" i="11"/>
  <c r="E17" i="11"/>
  <c r="G15" i="11"/>
  <c r="H15" i="11" s="1"/>
  <c r="H16" i="11" l="1"/>
  <c r="F17" i="11"/>
  <c r="G17" i="11" s="1"/>
  <c r="H17" i="11" s="1"/>
  <c r="C19" i="11"/>
  <c r="E18" i="11"/>
  <c r="E19" i="11" l="1"/>
  <c r="C20" i="11"/>
  <c r="F18" i="11"/>
  <c r="G18" i="11"/>
  <c r="H18" i="11" l="1"/>
  <c r="C21" i="11"/>
  <c r="E20" i="11"/>
  <c r="F19" i="11"/>
  <c r="G19" i="11" s="1"/>
  <c r="H19" i="11" l="1"/>
  <c r="F20" i="11"/>
  <c r="C22" i="11"/>
  <c r="E21" i="11"/>
  <c r="F21" i="11" l="1"/>
  <c r="G21" i="11"/>
  <c r="H21" i="11" s="1"/>
  <c r="G20" i="11"/>
  <c r="H20" i="11" s="1"/>
  <c r="C23" i="11"/>
  <c r="E22" i="11"/>
  <c r="E23" i="11" l="1"/>
  <c r="C24" i="11"/>
  <c r="F22" i="11"/>
  <c r="G22" i="11" s="1"/>
  <c r="H22" i="11" s="1"/>
  <c r="C25" i="11" l="1"/>
  <c r="E24" i="11"/>
  <c r="F23" i="11"/>
  <c r="G23" i="11" l="1"/>
  <c r="H23" i="11" s="1"/>
  <c r="F24" i="11"/>
  <c r="G24" i="11"/>
  <c r="C26" i="11"/>
  <c r="E25" i="11"/>
  <c r="H24" i="11" l="1"/>
  <c r="E26" i="11"/>
  <c r="C27" i="11"/>
  <c r="F25" i="11"/>
  <c r="G25" i="11"/>
  <c r="H25" i="11" s="1"/>
  <c r="E27" i="11" l="1"/>
  <c r="C28" i="11"/>
  <c r="F26" i="11"/>
  <c r="G26" i="11" l="1"/>
  <c r="H26" i="11" s="1"/>
  <c r="E28" i="11"/>
  <c r="C29" i="11"/>
  <c r="F27" i="11"/>
  <c r="G27" i="11" s="1"/>
  <c r="H27" i="11" l="1"/>
  <c r="C30" i="11"/>
  <c r="E29" i="11"/>
  <c r="F28" i="11"/>
  <c r="G28" i="11"/>
  <c r="H28" i="11" s="1"/>
  <c r="F29" i="11" l="1"/>
  <c r="G29" i="11" s="1"/>
  <c r="H29" i="11" s="1"/>
  <c r="C31" i="11"/>
  <c r="E30" i="11"/>
  <c r="C32" i="11" l="1"/>
  <c r="E31" i="11"/>
  <c r="F30" i="11"/>
  <c r="G30" i="11"/>
  <c r="H30" i="11" l="1"/>
  <c r="F31" i="11"/>
  <c r="E32" i="11"/>
  <c r="C33" i="11"/>
  <c r="F32" i="11" l="1"/>
  <c r="E33" i="11"/>
  <c r="C34" i="11"/>
  <c r="G31" i="11"/>
  <c r="H31" i="11" s="1"/>
  <c r="E34" i="11" l="1"/>
  <c r="C35" i="11"/>
  <c r="F33" i="11"/>
  <c r="G33" i="11"/>
  <c r="H33" i="11" s="1"/>
  <c r="G32" i="11"/>
  <c r="H32" i="11" s="1"/>
  <c r="E35" i="11" l="1"/>
  <c r="C36" i="11"/>
  <c r="F34" i="11"/>
  <c r="H34" i="11" s="1"/>
  <c r="G34" i="11"/>
  <c r="E36" i="11" l="1"/>
  <c r="C37" i="11"/>
  <c r="F35" i="11"/>
  <c r="G35" i="11" l="1"/>
  <c r="H35" i="11" s="1"/>
  <c r="E37" i="11"/>
  <c r="C38" i="11"/>
  <c r="F36" i="11"/>
  <c r="G36" i="11"/>
  <c r="H36" i="11" s="1"/>
  <c r="E38" i="11" l="1"/>
  <c r="C39" i="11"/>
  <c r="F37" i="11"/>
  <c r="G37" i="11" s="1"/>
  <c r="H37" i="11" s="1"/>
  <c r="F38" i="11" l="1"/>
  <c r="E39" i="11"/>
  <c r="C40" i="11"/>
  <c r="E40" i="11" l="1"/>
  <c r="C41" i="11"/>
  <c r="F39" i="11"/>
  <c r="G38" i="11"/>
  <c r="H38" i="11" s="1"/>
  <c r="G39" i="11" l="1"/>
  <c r="H39" i="11" s="1"/>
  <c r="E41" i="11"/>
  <c r="C42" i="11"/>
  <c r="F40" i="11"/>
  <c r="G40" i="11" l="1"/>
  <c r="H40" i="11" s="1"/>
  <c r="E42" i="11"/>
  <c r="C43" i="11"/>
  <c r="F41" i="11"/>
  <c r="G41" i="11"/>
  <c r="H41" i="11" s="1"/>
  <c r="E43" i="11" l="1"/>
  <c r="C44" i="11"/>
  <c r="E44" i="11" s="1"/>
  <c r="F42" i="11"/>
  <c r="G42" i="11"/>
  <c r="H42" i="11" l="1"/>
  <c r="F44" i="11"/>
  <c r="F43" i="11"/>
  <c r="G43" i="11"/>
  <c r="H43" i="11" s="1"/>
  <c r="G44" i="11" l="1"/>
  <c r="H44" i="11" s="1"/>
  <c r="A9" i="4" l="1"/>
  <c r="A10" i="4"/>
  <c r="A4" i="4"/>
  <c r="A5" i="4" s="1"/>
  <c r="A6" i="4" s="1"/>
  <c r="A7" i="4" s="1"/>
  <c r="A8" i="4" s="1"/>
  <c r="Y13" i="5"/>
  <c r="O13" i="5"/>
  <c r="L36" i="5"/>
  <c r="F7" i="5"/>
  <c r="AE32" i="5"/>
  <c r="AC26" i="5"/>
  <c r="AE26" i="5" s="1"/>
  <c r="AE25" i="5"/>
  <c r="AE23" i="5"/>
  <c r="AE16" i="5"/>
  <c r="R27" i="10"/>
  <c r="F27" i="10"/>
  <c r="R17" i="10"/>
  <c r="T11" i="10"/>
  <c r="H11" i="10"/>
  <c r="V9" i="10"/>
  <c r="R9" i="10"/>
  <c r="F9" i="10"/>
  <c r="AE11" i="5" l="1"/>
  <c r="AE13" i="5"/>
  <c r="AC18" i="5" l="1"/>
  <c r="AE18" i="5" l="1"/>
  <c r="AC20" i="5"/>
  <c r="AC30" i="5" s="1"/>
  <c r="AC34" i="5" l="1"/>
  <c r="AE20" i="5"/>
  <c r="AC38" i="5" l="1"/>
  <c r="AE34" i="5"/>
  <c r="AE30" i="5"/>
  <c r="AE38" i="5" l="1"/>
  <c r="AC41" i="5"/>
  <c r="AE41" i="5" s="1"/>
  <c r="O5" i="8" l="1"/>
  <c r="N6" i="8" s="1"/>
  <c r="N7" i="8" s="1"/>
  <c r="N8" i="8" s="1"/>
  <c r="N9" i="8" s="1"/>
  <c r="N10" i="8" s="1"/>
  <c r="N11" i="8" s="1"/>
  <c r="N12" i="8" s="1"/>
  <c r="N13" i="8" s="1"/>
  <c r="N14" i="8" s="1"/>
  <c r="N15" i="8" s="1"/>
  <c r="N16" i="8" s="1"/>
  <c r="N17" i="8" s="1"/>
  <c r="N18" i="8" s="1"/>
  <c r="N19" i="8" s="1"/>
  <c r="N20" i="8" s="1"/>
  <c r="N21" i="8" s="1"/>
  <c r="N22" i="8" s="1"/>
  <c r="N23" i="8" s="1"/>
  <c r="N24" i="8" s="1"/>
  <c r="N25" i="8" s="1"/>
  <c r="N26" i="8" s="1"/>
  <c r="N27" i="8" s="1"/>
  <c r="N28" i="8" s="1"/>
  <c r="N29" i="8" s="1"/>
  <c r="N30" i="8" s="1"/>
  <c r="N31" i="8" s="1"/>
  <c r="N32" i="8" s="1"/>
  <c r="N33" i="8" s="1"/>
  <c r="N34" i="8" s="1"/>
  <c r="N35" i="8" s="1"/>
  <c r="N36" i="8" s="1"/>
  <c r="N37" i="8" s="1"/>
  <c r="N38" i="8" s="1"/>
  <c r="N39" i="8" s="1"/>
  <c r="N40" i="8" s="1"/>
  <c r="N41" i="8" s="1"/>
  <c r="N42" i="8" s="1"/>
  <c r="N43" i="8" s="1"/>
  <c r="N44" i="8" s="1"/>
  <c r="K5" i="8"/>
  <c r="K6" i="8" s="1"/>
  <c r="K7" i="8" s="1"/>
  <c r="K8" i="8" s="1"/>
  <c r="K9" i="8" s="1"/>
  <c r="K10" i="8" s="1"/>
  <c r="K11" i="8" s="1"/>
  <c r="K12" i="8" s="1"/>
  <c r="K13" i="8" s="1"/>
  <c r="K14" i="8" s="1"/>
  <c r="K15" i="8" s="1"/>
  <c r="K16" i="8" s="1"/>
  <c r="K17" i="8" s="1"/>
  <c r="K18" i="8" s="1"/>
  <c r="K19" i="8" s="1"/>
  <c r="K20" i="8" s="1"/>
  <c r="K21" i="8" s="1"/>
  <c r="K22" i="8" s="1"/>
  <c r="K23" i="8" s="1"/>
  <c r="K24" i="8" s="1"/>
  <c r="K25" i="8" s="1"/>
  <c r="K26" i="8" s="1"/>
  <c r="K27" i="8" s="1"/>
  <c r="K28" i="8" s="1"/>
  <c r="K29" i="8" s="1"/>
  <c r="K30" i="8" s="1"/>
  <c r="K31" i="8" s="1"/>
  <c r="K32" i="8" s="1"/>
  <c r="K33" i="8" s="1"/>
  <c r="K34" i="8" s="1"/>
  <c r="K35" i="8" s="1"/>
  <c r="K36" i="8" s="1"/>
  <c r="K37" i="8" s="1"/>
  <c r="K38" i="8" s="1"/>
  <c r="K39" i="8" s="1"/>
  <c r="K40" i="8" s="1"/>
  <c r="K41" i="8" s="1"/>
  <c r="K42" i="8" s="1"/>
  <c r="K43" i="8" s="1"/>
  <c r="K44" i="8" s="1"/>
  <c r="C5" i="8"/>
  <c r="E5" i="8" s="1"/>
  <c r="B5" i="8"/>
  <c r="B6" i="8" s="1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L4" i="8"/>
  <c r="E4" i="8"/>
  <c r="F5" i="8" l="1"/>
  <c r="G5" i="8" s="1"/>
  <c r="H5" i="8" s="1"/>
  <c r="C6" i="8"/>
  <c r="F4" i="8"/>
  <c r="G4" i="8" s="1"/>
  <c r="H4" i="8" s="1"/>
  <c r="E6" i="8" l="1"/>
  <c r="C7" i="8"/>
  <c r="F6" i="8" l="1"/>
  <c r="E7" i="8"/>
  <c r="C8" i="8"/>
  <c r="F7" i="8" l="1"/>
  <c r="C9" i="8"/>
  <c r="E8" i="8"/>
  <c r="G6" i="8"/>
  <c r="H6" i="8" s="1"/>
  <c r="F8" i="8" l="1"/>
  <c r="P9" i="8"/>
  <c r="C10" i="8"/>
  <c r="E9" i="8"/>
  <c r="G7" i="8"/>
  <c r="H7" i="8" s="1"/>
  <c r="F9" i="8" l="1"/>
  <c r="H9" i="8" s="1"/>
  <c r="G9" i="8"/>
  <c r="G8" i="8"/>
  <c r="H8" i="8" s="1"/>
  <c r="C11" i="8"/>
  <c r="E10" i="8"/>
  <c r="E11" i="8" l="1"/>
  <c r="C12" i="8"/>
  <c r="F10" i="8"/>
  <c r="H10" i="8" l="1"/>
  <c r="G10" i="8"/>
  <c r="E12" i="8"/>
  <c r="C13" i="8"/>
  <c r="F11" i="8"/>
  <c r="G11" i="8" l="1"/>
  <c r="H11" i="8" s="1"/>
  <c r="C14" i="8"/>
  <c r="E13" i="8"/>
  <c r="F12" i="8"/>
  <c r="G12" i="8" l="1"/>
  <c r="H12" i="8" s="1"/>
  <c r="F13" i="8"/>
  <c r="C15" i="8"/>
  <c r="E14" i="8"/>
  <c r="H13" i="8" l="1"/>
  <c r="F14" i="8"/>
  <c r="C16" i="8"/>
  <c r="E15" i="8"/>
  <c r="G13" i="8"/>
  <c r="F15" i="8" l="1"/>
  <c r="E16" i="8"/>
  <c r="C17" i="8"/>
  <c r="G14" i="8"/>
  <c r="H14" i="8" s="1"/>
  <c r="C18" i="8" l="1"/>
  <c r="E17" i="8"/>
  <c r="F16" i="8"/>
  <c r="G16" i="8" s="1"/>
  <c r="G15" i="8"/>
  <c r="H15" i="8" s="1"/>
  <c r="H16" i="8" l="1"/>
  <c r="F17" i="8"/>
  <c r="C19" i="8"/>
  <c r="E18" i="8"/>
  <c r="F18" i="8" l="1"/>
  <c r="E19" i="8"/>
  <c r="C20" i="8"/>
  <c r="G17" i="8"/>
  <c r="H17" i="8" s="1"/>
  <c r="F19" i="8" l="1"/>
  <c r="C21" i="8"/>
  <c r="E20" i="8"/>
  <c r="G18" i="8"/>
  <c r="H18" i="8" s="1"/>
  <c r="F20" i="8" l="1"/>
  <c r="E21" i="8"/>
  <c r="C22" i="8"/>
  <c r="G19" i="8"/>
  <c r="H19" i="8" s="1"/>
  <c r="C23" i="8" l="1"/>
  <c r="E22" i="8"/>
  <c r="F21" i="8"/>
  <c r="G20" i="8"/>
  <c r="H20" i="8" s="1"/>
  <c r="G21" i="8" l="1"/>
  <c r="H21" i="8" s="1"/>
  <c r="F22" i="8"/>
  <c r="C24" i="8"/>
  <c r="E23" i="8"/>
  <c r="F23" i="8" l="1"/>
  <c r="C25" i="8"/>
  <c r="E24" i="8"/>
  <c r="G22" i="8"/>
  <c r="H22" i="8" s="1"/>
  <c r="F24" i="8" l="1"/>
  <c r="E25" i="8"/>
  <c r="C26" i="8"/>
  <c r="G23" i="8"/>
  <c r="H23" i="8" s="1"/>
  <c r="C27" i="8" l="1"/>
  <c r="E26" i="8"/>
  <c r="F25" i="8"/>
  <c r="G24" i="8"/>
  <c r="H24" i="8" s="1"/>
  <c r="G25" i="8" l="1"/>
  <c r="H25" i="8" s="1"/>
  <c r="C28" i="8"/>
  <c r="E27" i="8"/>
  <c r="F26" i="8"/>
  <c r="F27" i="8" l="1"/>
  <c r="G26" i="8"/>
  <c r="H26" i="8" s="1"/>
  <c r="C29" i="8"/>
  <c r="E28" i="8"/>
  <c r="F28" i="8" l="1"/>
  <c r="C30" i="8"/>
  <c r="E29" i="8"/>
  <c r="G27" i="8"/>
  <c r="H27" i="8" s="1"/>
  <c r="F29" i="8" l="1"/>
  <c r="C31" i="8"/>
  <c r="E30" i="8"/>
  <c r="G28" i="8"/>
  <c r="H28" i="8" s="1"/>
  <c r="F30" i="8" l="1"/>
  <c r="E31" i="8"/>
  <c r="C32" i="8"/>
  <c r="G29" i="8"/>
  <c r="H29" i="8" s="1"/>
  <c r="C33" i="8" l="1"/>
  <c r="E32" i="8"/>
  <c r="F31" i="8"/>
  <c r="G31" i="8" s="1"/>
  <c r="G30" i="8"/>
  <c r="H30" i="8" s="1"/>
  <c r="H31" i="8" l="1"/>
  <c r="F32" i="8"/>
  <c r="G32" i="8" s="1"/>
  <c r="C34" i="8"/>
  <c r="E33" i="8"/>
  <c r="F33" i="8" l="1"/>
  <c r="H32" i="8"/>
  <c r="E34" i="8"/>
  <c r="C35" i="8"/>
  <c r="E35" i="8" l="1"/>
  <c r="C36" i="8"/>
  <c r="F34" i="8"/>
  <c r="G33" i="8"/>
  <c r="H33" i="8" s="1"/>
  <c r="H34" i="8" l="1"/>
  <c r="G34" i="8"/>
  <c r="C37" i="8"/>
  <c r="E36" i="8"/>
  <c r="F35" i="8"/>
  <c r="G35" i="8" l="1"/>
  <c r="H35" i="8" s="1"/>
  <c r="F36" i="8"/>
  <c r="G36" i="8" s="1"/>
  <c r="H36" i="8" s="1"/>
  <c r="E37" i="8"/>
  <c r="C38" i="8"/>
  <c r="C39" i="8" l="1"/>
  <c r="E38" i="8"/>
  <c r="F37" i="8"/>
  <c r="G37" i="8" l="1"/>
  <c r="H37" i="8" s="1"/>
  <c r="F38" i="8"/>
  <c r="E39" i="8"/>
  <c r="C40" i="8"/>
  <c r="C41" i="8" l="1"/>
  <c r="E40" i="8"/>
  <c r="F39" i="8"/>
  <c r="G38" i="8"/>
  <c r="H38" i="8" s="1"/>
  <c r="G39" i="8" l="1"/>
  <c r="H39" i="8" s="1"/>
  <c r="F40" i="8"/>
  <c r="C42" i="8"/>
  <c r="E41" i="8"/>
  <c r="F41" i="8" l="1"/>
  <c r="C43" i="8"/>
  <c r="E42" i="8"/>
  <c r="G40" i="8"/>
  <c r="H40" i="8" s="1"/>
  <c r="E43" i="8" l="1"/>
  <c r="C44" i="8"/>
  <c r="E44" i="8" s="1"/>
  <c r="F42" i="8"/>
  <c r="G41" i="8"/>
  <c r="H41" i="8" s="1"/>
  <c r="G42" i="8" l="1"/>
  <c r="H42" i="8" s="1"/>
  <c r="G44" i="8"/>
  <c r="F44" i="8"/>
  <c r="H44" i="8" s="1"/>
  <c r="F43" i="8"/>
  <c r="G43" i="8" l="1"/>
  <c r="H43" i="8" s="1"/>
  <c r="D18" i="5" l="1"/>
  <c r="M16" i="5"/>
  <c r="F18" i="6" l="1"/>
  <c r="O16" i="6"/>
  <c r="B6" i="7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U5" i="7"/>
  <c r="T6" i="7" s="1"/>
  <c r="T7" i="7" s="1"/>
  <c r="T8" i="7" s="1"/>
  <c r="T9" i="7" s="1"/>
  <c r="T10" i="7" s="1"/>
  <c r="T11" i="7" s="1"/>
  <c r="T12" i="7" s="1"/>
  <c r="T13" i="7" s="1"/>
  <c r="T14" i="7" s="1"/>
  <c r="T15" i="7" s="1"/>
  <c r="T16" i="7" s="1"/>
  <c r="T17" i="7" s="1"/>
  <c r="T18" i="7" s="1"/>
  <c r="T19" i="7" s="1"/>
  <c r="T20" i="7" s="1"/>
  <c r="T21" i="7" s="1"/>
  <c r="T22" i="7" s="1"/>
  <c r="T23" i="7" s="1"/>
  <c r="T24" i="7" s="1"/>
  <c r="T25" i="7" s="1"/>
  <c r="T26" i="7" s="1"/>
  <c r="T27" i="7" s="1"/>
  <c r="T28" i="7" s="1"/>
  <c r="T29" i="7" s="1"/>
  <c r="T30" i="7" s="1"/>
  <c r="T31" i="7" s="1"/>
  <c r="T32" i="7" s="1"/>
  <c r="T33" i="7" s="1"/>
  <c r="T34" i="7" s="1"/>
  <c r="T35" i="7" s="1"/>
  <c r="T36" i="7" s="1"/>
  <c r="T37" i="7" s="1"/>
  <c r="T38" i="7" s="1"/>
  <c r="T39" i="7" s="1"/>
  <c r="T40" i="7" s="1"/>
  <c r="T41" i="7" s="1"/>
  <c r="T42" i="7" s="1"/>
  <c r="T43" i="7" s="1"/>
  <c r="T44" i="7" s="1"/>
  <c r="B5" i="7"/>
  <c r="R4" i="7"/>
  <c r="Q5" i="7" s="1"/>
  <c r="Q6" i="7" s="1"/>
  <c r="Q7" i="7" s="1"/>
  <c r="Q8" i="7" s="1"/>
  <c r="Q9" i="7" s="1"/>
  <c r="Q10" i="7" s="1"/>
  <c r="Q11" i="7" s="1"/>
  <c r="Q12" i="7" s="1"/>
  <c r="Q13" i="7" s="1"/>
  <c r="Q14" i="7" s="1"/>
  <c r="Q15" i="7" s="1"/>
  <c r="Q16" i="7" s="1"/>
  <c r="Q17" i="7" s="1"/>
  <c r="Q18" i="7" s="1"/>
  <c r="Q19" i="7" s="1"/>
  <c r="Q20" i="7" s="1"/>
  <c r="Q21" i="7" s="1"/>
  <c r="Q22" i="7" s="1"/>
  <c r="Q23" i="7" s="1"/>
  <c r="Q24" i="7" s="1"/>
  <c r="Q25" i="7" s="1"/>
  <c r="Q26" i="7" s="1"/>
  <c r="Q27" i="7" s="1"/>
  <c r="Q28" i="7" s="1"/>
  <c r="Q29" i="7" s="1"/>
  <c r="Q30" i="7" s="1"/>
  <c r="Q31" i="7" s="1"/>
  <c r="Q32" i="7" s="1"/>
  <c r="Q33" i="7" s="1"/>
  <c r="Q34" i="7" s="1"/>
  <c r="Q35" i="7" s="1"/>
  <c r="Q36" i="7" s="1"/>
  <c r="Q37" i="7" s="1"/>
  <c r="Q38" i="7" s="1"/>
  <c r="Q39" i="7" s="1"/>
  <c r="Q40" i="7" s="1"/>
  <c r="Q41" i="7" s="1"/>
  <c r="Q42" i="7" s="1"/>
  <c r="Q43" i="7" s="1"/>
  <c r="Q44" i="7" s="1"/>
  <c r="E4" i="7"/>
  <c r="Q18" i="6" l="1"/>
  <c r="F4" i="7"/>
  <c r="L4" i="7"/>
  <c r="M4" i="7" s="1"/>
  <c r="N4" i="7" s="1"/>
  <c r="C5" i="7"/>
  <c r="H4" i="7"/>
  <c r="I4" i="7" s="1"/>
  <c r="J4" i="7" l="1"/>
  <c r="D5" i="7"/>
  <c r="E5" i="7"/>
  <c r="H5" i="7"/>
  <c r="C6" i="7"/>
  <c r="I5" i="7" l="1"/>
  <c r="J5" i="7" s="1"/>
  <c r="H6" i="7"/>
  <c r="E6" i="7"/>
  <c r="I6" i="7"/>
  <c r="J6" i="7" s="1"/>
  <c r="D6" i="7"/>
  <c r="C7" i="7"/>
  <c r="L5" i="7"/>
  <c r="F5" i="7"/>
  <c r="C8" i="7" l="1"/>
  <c r="H7" i="7"/>
  <c r="D7" i="7"/>
  <c r="E7" i="7"/>
  <c r="F6" i="7"/>
  <c r="L6" i="7"/>
  <c r="M6" i="7"/>
  <c r="N6" i="7" s="1"/>
  <c r="M5" i="7"/>
  <c r="N5" i="7" s="1"/>
  <c r="I7" i="7" l="1"/>
  <c r="J7" i="7" s="1"/>
  <c r="L7" i="7"/>
  <c r="M7" i="7" s="1"/>
  <c r="F7" i="7"/>
  <c r="E8" i="7"/>
  <c r="D8" i="7"/>
  <c r="C9" i="7"/>
  <c r="H8" i="7"/>
  <c r="L8" i="7" l="1"/>
  <c r="F8" i="7"/>
  <c r="N7" i="7"/>
  <c r="I8" i="7"/>
  <c r="J8" i="7" s="1"/>
  <c r="C10" i="7"/>
  <c r="H9" i="7"/>
  <c r="I9" i="7" s="1"/>
  <c r="J9" i="7" s="1"/>
  <c r="E9" i="7"/>
  <c r="D9" i="7"/>
  <c r="H10" i="7" l="1"/>
  <c r="C11" i="7"/>
  <c r="E10" i="7"/>
  <c r="D10" i="7"/>
  <c r="M8" i="7"/>
  <c r="N8" i="7" s="1"/>
  <c r="F9" i="7"/>
  <c r="L9" i="7"/>
  <c r="M9" i="7" s="1"/>
  <c r="N9" i="7" s="1"/>
  <c r="I10" i="7" l="1"/>
  <c r="J10" i="7" s="1"/>
  <c r="E11" i="7"/>
  <c r="D11" i="7"/>
  <c r="C12" i="7"/>
  <c r="H11" i="7"/>
  <c r="L10" i="7"/>
  <c r="M10" i="7" s="1"/>
  <c r="N10" i="7" s="1"/>
  <c r="F10" i="7"/>
  <c r="F11" i="7" l="1"/>
  <c r="L11" i="7"/>
  <c r="M11" i="7" s="1"/>
  <c r="I11" i="7"/>
  <c r="J11" i="7" s="1"/>
  <c r="C13" i="7"/>
  <c r="H12" i="7"/>
  <c r="I12" i="7" s="1"/>
  <c r="J12" i="7" s="1"/>
  <c r="E12" i="7"/>
  <c r="D12" i="7"/>
  <c r="D13" i="7" l="1"/>
  <c r="H13" i="7"/>
  <c r="I13" i="7" s="1"/>
  <c r="J13" i="7" s="1"/>
  <c r="C14" i="7"/>
  <c r="E13" i="7"/>
  <c r="N11" i="7"/>
  <c r="L12" i="7"/>
  <c r="F12" i="7"/>
  <c r="H14" i="7" l="1"/>
  <c r="E14" i="7"/>
  <c r="D14" i="7"/>
  <c r="C15" i="7"/>
  <c r="L13" i="7"/>
  <c r="F13" i="7"/>
  <c r="M12" i="7"/>
  <c r="N12" i="7" s="1"/>
  <c r="I14" i="7" l="1"/>
  <c r="J14" i="7" s="1"/>
  <c r="M13" i="7"/>
  <c r="N13" i="7" s="1"/>
  <c r="C16" i="7"/>
  <c r="H15" i="7"/>
  <c r="E15" i="7"/>
  <c r="D15" i="7"/>
  <c r="F14" i="7"/>
  <c r="L14" i="7"/>
  <c r="M14" i="7" s="1"/>
  <c r="N14" i="7" s="1"/>
  <c r="L15" i="7" l="1"/>
  <c r="M15" i="7" s="1"/>
  <c r="N15" i="7" s="1"/>
  <c r="F15" i="7"/>
  <c r="E16" i="7"/>
  <c r="D16" i="7"/>
  <c r="H16" i="7"/>
  <c r="C17" i="7"/>
  <c r="I15" i="7"/>
  <c r="J15" i="7" s="1"/>
  <c r="I16" i="7" l="1"/>
  <c r="J16" i="7" s="1"/>
  <c r="L16" i="7"/>
  <c r="F16" i="7"/>
  <c r="C18" i="7"/>
  <c r="H17" i="7"/>
  <c r="E17" i="7"/>
  <c r="D17" i="7"/>
  <c r="H18" i="7" l="1"/>
  <c r="I18" i="7" s="1"/>
  <c r="C19" i="7"/>
  <c r="E18" i="7"/>
  <c r="D18" i="7"/>
  <c r="M16" i="7"/>
  <c r="N16" i="7" s="1"/>
  <c r="I17" i="7"/>
  <c r="J17" i="7" s="1"/>
  <c r="F17" i="7"/>
  <c r="L17" i="7"/>
  <c r="M17" i="7" s="1"/>
  <c r="J18" i="7" l="1"/>
  <c r="L18" i="7"/>
  <c r="M18" i="7" s="1"/>
  <c r="N18" i="7" s="1"/>
  <c r="F18" i="7"/>
  <c r="N17" i="7"/>
  <c r="E19" i="7"/>
  <c r="D19" i="7"/>
  <c r="H19" i="7"/>
  <c r="C20" i="7"/>
  <c r="I19" i="7" l="1"/>
  <c r="J19" i="7" s="1"/>
  <c r="F19" i="7"/>
  <c r="L19" i="7"/>
  <c r="C21" i="7"/>
  <c r="H20" i="7"/>
  <c r="I20" i="7" s="1"/>
  <c r="J20" i="7" s="1"/>
  <c r="E20" i="7"/>
  <c r="D20" i="7"/>
  <c r="M19" i="7" l="1"/>
  <c r="N19" i="7" s="1"/>
  <c r="D21" i="7"/>
  <c r="C22" i="7"/>
  <c r="H21" i="7"/>
  <c r="E21" i="7"/>
  <c r="F20" i="7"/>
  <c r="L20" i="7"/>
  <c r="H22" i="7" l="1"/>
  <c r="I22" i="7" s="1"/>
  <c r="J22" i="7" s="1"/>
  <c r="E22" i="7"/>
  <c r="D22" i="7"/>
  <c r="C23" i="7"/>
  <c r="L21" i="7"/>
  <c r="M21" i="7" s="1"/>
  <c r="N21" i="7" s="1"/>
  <c r="F21" i="7"/>
  <c r="I21" i="7"/>
  <c r="J21" i="7" s="1"/>
  <c r="M20" i="7"/>
  <c r="N20" i="7" s="1"/>
  <c r="C24" i="7" l="1"/>
  <c r="H23" i="7"/>
  <c r="I23" i="7" s="1"/>
  <c r="J23" i="7" s="1"/>
  <c r="E23" i="7"/>
  <c r="D23" i="7"/>
  <c r="F22" i="7"/>
  <c r="L22" i="7"/>
  <c r="M22" i="7" s="1"/>
  <c r="L23" i="7" l="1"/>
  <c r="M23" i="7"/>
  <c r="N23" i="7" s="1"/>
  <c r="F23" i="7"/>
  <c r="N22" i="7"/>
  <c r="E24" i="7"/>
  <c r="D24" i="7"/>
  <c r="C25" i="7"/>
  <c r="H24" i="7"/>
  <c r="I24" i="7" s="1"/>
  <c r="J24" i="7" s="1"/>
  <c r="C26" i="7" l="1"/>
  <c r="H25" i="7"/>
  <c r="I25" i="7" s="1"/>
  <c r="J25" i="7" s="1"/>
  <c r="E25" i="7"/>
  <c r="D25" i="7"/>
  <c r="L24" i="7"/>
  <c r="F24" i="7"/>
  <c r="M24" i="7" l="1"/>
  <c r="N24" i="7" s="1"/>
  <c r="C27" i="7"/>
  <c r="E26" i="7"/>
  <c r="D26" i="7"/>
  <c r="H26" i="7"/>
  <c r="F25" i="7"/>
  <c r="L25" i="7"/>
  <c r="I26" i="7" l="1"/>
  <c r="J26" i="7" s="1"/>
  <c r="M25" i="7"/>
  <c r="N25" i="7" s="1"/>
  <c r="L26" i="7"/>
  <c r="M26" i="7" s="1"/>
  <c r="N26" i="7" s="1"/>
  <c r="F26" i="7"/>
  <c r="E27" i="7"/>
  <c r="D27" i="7"/>
  <c r="C28" i="7"/>
  <c r="H27" i="7"/>
  <c r="I27" i="7" s="1"/>
  <c r="J27" i="7" l="1"/>
  <c r="C29" i="7"/>
  <c r="H28" i="7"/>
  <c r="I28" i="7" s="1"/>
  <c r="E28" i="7"/>
  <c r="D28" i="7"/>
  <c r="F27" i="7"/>
  <c r="L27" i="7"/>
  <c r="M27" i="7" s="1"/>
  <c r="N27" i="7" l="1"/>
  <c r="J28" i="7"/>
  <c r="F28" i="7"/>
  <c r="L28" i="7"/>
  <c r="D29" i="7"/>
  <c r="E29" i="7"/>
  <c r="H29" i="7"/>
  <c r="C30" i="7"/>
  <c r="I29" i="7"/>
  <c r="J29" i="7" s="1"/>
  <c r="M28" i="7" l="1"/>
  <c r="N28" i="7" s="1"/>
  <c r="H30" i="7"/>
  <c r="I30" i="7" s="1"/>
  <c r="J30" i="7" s="1"/>
  <c r="E30" i="7"/>
  <c r="D30" i="7"/>
  <c r="C31" i="7"/>
  <c r="L29" i="7"/>
  <c r="M29" i="7" s="1"/>
  <c r="N29" i="7" s="1"/>
  <c r="F29" i="7"/>
  <c r="H31" i="7" l="1"/>
  <c r="I31" i="7" s="1"/>
  <c r="J31" i="7" s="1"/>
  <c r="C32" i="7"/>
  <c r="E31" i="7"/>
  <c r="D31" i="7"/>
  <c r="F30" i="7"/>
  <c r="L30" i="7"/>
  <c r="M30" i="7"/>
  <c r="N30" i="7" l="1"/>
  <c r="L31" i="7"/>
  <c r="M31" i="7" s="1"/>
  <c r="F31" i="7"/>
  <c r="E32" i="7"/>
  <c r="D32" i="7"/>
  <c r="H32" i="7"/>
  <c r="C33" i="7"/>
  <c r="N31" i="7" l="1"/>
  <c r="I32" i="7"/>
  <c r="J32" i="7" s="1"/>
  <c r="C34" i="7"/>
  <c r="H33" i="7"/>
  <c r="I33" i="7" s="1"/>
  <c r="J33" i="7" s="1"/>
  <c r="E33" i="7"/>
  <c r="D33" i="7"/>
  <c r="L32" i="7"/>
  <c r="F32" i="7"/>
  <c r="F33" i="7" l="1"/>
  <c r="L33" i="7"/>
  <c r="M33" i="7" s="1"/>
  <c r="M32" i="7"/>
  <c r="N32" i="7" s="1"/>
  <c r="C35" i="7"/>
  <c r="H34" i="7"/>
  <c r="E34" i="7"/>
  <c r="D34" i="7"/>
  <c r="I34" i="7" l="1"/>
  <c r="J34" i="7" s="1"/>
  <c r="E35" i="7"/>
  <c r="D35" i="7"/>
  <c r="H35" i="7"/>
  <c r="C36" i="7"/>
  <c r="I35" i="7"/>
  <c r="L34" i="7"/>
  <c r="F34" i="7"/>
  <c r="N33" i="7"/>
  <c r="J35" i="7" l="1"/>
  <c r="M34" i="7"/>
  <c r="N34" i="7" s="1"/>
  <c r="C37" i="7"/>
  <c r="H36" i="7"/>
  <c r="D36" i="7"/>
  <c r="E36" i="7"/>
  <c r="F35" i="7"/>
  <c r="L35" i="7"/>
  <c r="M35" i="7" s="1"/>
  <c r="I36" i="7" l="1"/>
  <c r="J36" i="7" s="1"/>
  <c r="N35" i="7"/>
  <c r="D37" i="7"/>
  <c r="H37" i="7"/>
  <c r="I37" i="7"/>
  <c r="E37" i="7"/>
  <c r="C38" i="7"/>
  <c r="F36" i="7"/>
  <c r="L36" i="7"/>
  <c r="M36" i="7" s="1"/>
  <c r="N36" i="7" s="1"/>
  <c r="J37" i="7" l="1"/>
  <c r="H38" i="7"/>
  <c r="D38" i="7"/>
  <c r="E38" i="7"/>
  <c r="C39" i="7"/>
  <c r="L37" i="7"/>
  <c r="F37" i="7"/>
  <c r="M37" i="7" l="1"/>
  <c r="N37" i="7" s="1"/>
  <c r="I38" i="7"/>
  <c r="J38" i="7" s="1"/>
  <c r="H39" i="7"/>
  <c r="C40" i="7"/>
  <c r="I39" i="7"/>
  <c r="E39" i="7"/>
  <c r="D39" i="7"/>
  <c r="F38" i="7"/>
  <c r="L38" i="7"/>
  <c r="M38" i="7" s="1"/>
  <c r="J39" i="7" l="1"/>
  <c r="N38" i="7"/>
  <c r="L39" i="7"/>
  <c r="M39" i="7"/>
  <c r="N39" i="7" s="1"/>
  <c r="F39" i="7"/>
  <c r="E40" i="7"/>
  <c r="D40" i="7"/>
  <c r="C41" i="7"/>
  <c r="H40" i="7"/>
  <c r="I40" i="7" l="1"/>
  <c r="J40" i="7" s="1"/>
  <c r="C42" i="7"/>
  <c r="H41" i="7"/>
  <c r="I41" i="7" s="1"/>
  <c r="J41" i="7" s="1"/>
  <c r="E41" i="7"/>
  <c r="D41" i="7"/>
  <c r="L40" i="7"/>
  <c r="M40" i="7" s="1"/>
  <c r="F40" i="7"/>
  <c r="N40" i="7" l="1"/>
  <c r="F41" i="7"/>
  <c r="L41" i="7"/>
  <c r="M41" i="7" s="1"/>
  <c r="N41" i="7" s="1"/>
  <c r="C43" i="7"/>
  <c r="E42" i="7"/>
  <c r="D42" i="7"/>
  <c r="H42" i="7"/>
  <c r="I42" i="7" s="1"/>
  <c r="J42" i="7" s="1"/>
  <c r="E43" i="7" l="1"/>
  <c r="D43" i="7"/>
  <c r="H43" i="7"/>
  <c r="C44" i="7"/>
  <c r="L42" i="7"/>
  <c r="F42" i="7"/>
  <c r="M42" i="7" l="1"/>
  <c r="N42" i="7" s="1"/>
  <c r="H44" i="7"/>
  <c r="E44" i="7"/>
  <c r="D44" i="7"/>
  <c r="I43" i="7"/>
  <c r="J43" i="7" s="1"/>
  <c r="F43" i="7"/>
  <c r="L43" i="7"/>
  <c r="M43" i="7" s="1"/>
  <c r="F44" i="7" l="1"/>
  <c r="L44" i="7"/>
  <c r="M44" i="7" s="1"/>
  <c r="I44" i="7"/>
  <c r="J44" i="7" s="1"/>
  <c r="N43" i="7"/>
  <c r="N44" i="7" l="1"/>
  <c r="AA26" i="6" l="1"/>
  <c r="W26" i="6"/>
  <c r="Q26" i="6"/>
  <c r="L26" i="6"/>
  <c r="H11" i="6" l="1"/>
  <c r="N11" i="6"/>
  <c r="S11" i="6"/>
  <c r="Y11" i="6"/>
  <c r="AC11" i="6"/>
  <c r="AC32" i="6"/>
  <c r="Y32" i="6"/>
  <c r="S32" i="6"/>
  <c r="O32" i="6"/>
  <c r="N32" i="6"/>
  <c r="H32" i="6"/>
  <c r="AC25" i="6"/>
  <c r="Y25" i="6"/>
  <c r="AC23" i="6"/>
  <c r="Y23" i="6"/>
  <c r="AA18" i="6"/>
  <c r="AA20" i="6" s="1"/>
  <c r="AA34" i="6" s="1"/>
  <c r="W20" i="6"/>
  <c r="W34" i="6" s="1"/>
  <c r="AC16" i="6"/>
  <c r="Y16" i="6"/>
  <c r="S16" i="6"/>
  <c r="H16" i="6"/>
  <c r="AC13" i="6"/>
  <c r="Y13" i="6"/>
  <c r="H13" i="6"/>
  <c r="Y26" i="5"/>
  <c r="U26" i="5"/>
  <c r="O26" i="5"/>
  <c r="J26" i="5"/>
  <c r="D26" i="5"/>
  <c r="O18" i="5"/>
  <c r="J18" i="5"/>
  <c r="S13" i="6" l="1"/>
  <c r="O11" i="6"/>
  <c r="AA30" i="6"/>
  <c r="AC20" i="6"/>
  <c r="AC34" i="6"/>
  <c r="Y34" i="6"/>
  <c r="W30" i="6"/>
  <c r="Y20" i="6"/>
  <c r="Y18" i="6"/>
  <c r="Y26" i="6"/>
  <c r="AC18" i="6"/>
  <c r="F20" i="6"/>
  <c r="F34" i="6" s="1"/>
  <c r="AC26" i="6"/>
  <c r="L20" i="6"/>
  <c r="H18" i="6"/>
  <c r="AA32" i="5"/>
  <c r="W32" i="5"/>
  <c r="Q32" i="5"/>
  <c r="M32" i="5"/>
  <c r="L32" i="5"/>
  <c r="F32" i="5"/>
  <c r="AA25" i="5"/>
  <c r="W25" i="5"/>
  <c r="AA23" i="5"/>
  <c r="W23" i="5"/>
  <c r="Y18" i="5"/>
  <c r="Y20" i="5" s="1"/>
  <c r="Y34" i="5" s="1"/>
  <c r="AA34" i="5" s="1"/>
  <c r="U18" i="5"/>
  <c r="U20" i="5" s="1"/>
  <c r="F18" i="5"/>
  <c r="AA16" i="5"/>
  <c r="W16" i="5"/>
  <c r="Q16" i="5"/>
  <c r="F16" i="5"/>
  <c r="AA13" i="5"/>
  <c r="W13" i="5"/>
  <c r="F13" i="5"/>
  <c r="AA11" i="5"/>
  <c r="W11" i="5"/>
  <c r="F11" i="5"/>
  <c r="L34" i="6" l="1"/>
  <c r="L30" i="6"/>
  <c r="U34" i="5"/>
  <c r="W34" i="5" s="1"/>
  <c r="S18" i="6"/>
  <c r="N20" i="6"/>
  <c r="O20" i="6"/>
  <c r="H34" i="6"/>
  <c r="F30" i="6"/>
  <c r="F38" i="6" s="1"/>
  <c r="H20" i="6"/>
  <c r="W38" i="6"/>
  <c r="Y30" i="6"/>
  <c r="F26" i="6"/>
  <c r="H26" i="6" s="1"/>
  <c r="O18" i="6"/>
  <c r="N18" i="6"/>
  <c r="O13" i="6"/>
  <c r="N13" i="6"/>
  <c r="AA38" i="6"/>
  <c r="AC38" i="6" s="1"/>
  <c r="AC30" i="6"/>
  <c r="W20" i="5"/>
  <c r="D20" i="5"/>
  <c r="D34" i="5" s="1"/>
  <c r="F34" i="5" s="1"/>
  <c r="AA18" i="5"/>
  <c r="AA26" i="5"/>
  <c r="W26" i="5"/>
  <c r="W18" i="5"/>
  <c r="U30" i="5"/>
  <c r="L11" i="5"/>
  <c r="AA20" i="5"/>
  <c r="M11" i="5"/>
  <c r="Y30" i="5"/>
  <c r="Y38" i="5" s="1"/>
  <c r="Q13" i="5"/>
  <c r="Q11" i="5"/>
  <c r="U38" i="5" l="1"/>
  <c r="W38" i="5" s="1"/>
  <c r="Y41" i="5"/>
  <c r="AA41" i="5" s="1"/>
  <c r="AA38" i="5"/>
  <c r="AA41" i="6"/>
  <c r="AC41" i="6" s="1"/>
  <c r="Q20" i="6"/>
  <c r="Q30" i="6" s="1"/>
  <c r="D30" i="5"/>
  <c r="D38" i="5" s="1"/>
  <c r="H30" i="6"/>
  <c r="O34" i="6"/>
  <c r="N34" i="6"/>
  <c r="Y38" i="6"/>
  <c r="W41" i="6"/>
  <c r="Y41" i="6" s="1"/>
  <c r="O26" i="6"/>
  <c r="N26" i="6"/>
  <c r="O30" i="6"/>
  <c r="L38" i="6"/>
  <c r="N30" i="6"/>
  <c r="F20" i="5"/>
  <c r="AA30" i="5"/>
  <c r="M13" i="5"/>
  <c r="L13" i="5"/>
  <c r="W30" i="5"/>
  <c r="F30" i="5"/>
  <c r="O20" i="5"/>
  <c r="U41" i="5" l="1"/>
  <c r="W41" i="5" s="1"/>
  <c r="O34" i="5"/>
  <c r="D41" i="5"/>
  <c r="F41" i="5" s="1"/>
  <c r="F38" i="5"/>
  <c r="S26" i="6"/>
  <c r="Q34" i="6"/>
  <c r="S20" i="6"/>
  <c r="S34" i="6"/>
  <c r="S30" i="6"/>
  <c r="O38" i="6"/>
  <c r="N38" i="6"/>
  <c r="L41" i="6"/>
  <c r="H38" i="6"/>
  <c r="F41" i="6"/>
  <c r="H41" i="6" s="1"/>
  <c r="Q20" i="5"/>
  <c r="O30" i="5"/>
  <c r="L18" i="5"/>
  <c r="M18" i="5"/>
  <c r="Q26" i="5"/>
  <c r="Q18" i="5"/>
  <c r="J20" i="5"/>
  <c r="J34" i="5" l="1"/>
  <c r="O38" i="5"/>
  <c r="Q34" i="5"/>
  <c r="Q38" i="6"/>
  <c r="S38" i="6" s="1"/>
  <c r="O41" i="6"/>
  <c r="N41" i="6"/>
  <c r="J30" i="5"/>
  <c r="J38" i="5" s="1"/>
  <c r="M20" i="5"/>
  <c r="L20" i="5"/>
  <c r="Q30" i="5"/>
  <c r="J4" i="3"/>
  <c r="I5" i="3" s="1"/>
  <c r="I6" i="3" s="1"/>
  <c r="I7" i="3" s="1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M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E4" i="3"/>
  <c r="L38" i="5" l="1"/>
  <c r="M38" i="5"/>
  <c r="Q38" i="5"/>
  <c r="O41" i="5"/>
  <c r="Q41" i="5" s="1"/>
  <c r="J41" i="5"/>
  <c r="M34" i="5"/>
  <c r="L34" i="5"/>
  <c r="Q41" i="6"/>
  <c r="S41" i="6" s="1"/>
  <c r="M26" i="5"/>
  <c r="M30" i="5"/>
  <c r="L30" i="5"/>
  <c r="C5" i="3"/>
  <c r="C6" i="3" s="1"/>
  <c r="F4" i="3"/>
  <c r="L41" i="5" l="1"/>
  <c r="M41" i="5"/>
  <c r="E5" i="3"/>
  <c r="D5" i="3"/>
  <c r="F5" i="3"/>
  <c r="D6" i="3"/>
  <c r="C7" i="3"/>
  <c r="E6" i="3"/>
  <c r="D7" i="3" l="1"/>
  <c r="E7" i="3"/>
  <c r="C8" i="3"/>
  <c r="F6" i="3"/>
  <c r="F7" i="3" l="1"/>
  <c r="D8" i="3"/>
  <c r="C9" i="3"/>
  <c r="E8" i="3"/>
  <c r="F8" i="3" l="1"/>
  <c r="E9" i="3"/>
  <c r="D9" i="3"/>
  <c r="C10" i="3"/>
  <c r="F9" i="3" l="1"/>
  <c r="C11" i="3"/>
  <c r="E10" i="3"/>
  <c r="D10" i="3"/>
  <c r="F10" i="3" l="1"/>
  <c r="C12" i="3"/>
  <c r="D11" i="3"/>
  <c r="E11" i="3"/>
  <c r="E12" i="3" l="1"/>
  <c r="D12" i="3"/>
  <c r="C13" i="3"/>
  <c r="F11" i="3"/>
  <c r="C14" i="3" l="1"/>
  <c r="E13" i="3"/>
  <c r="D13" i="3"/>
  <c r="F12" i="3"/>
  <c r="F13" i="3" l="1"/>
  <c r="D14" i="3"/>
  <c r="C15" i="3"/>
  <c r="E14" i="3"/>
  <c r="F14" i="3" l="1"/>
  <c r="D15" i="3"/>
  <c r="C16" i="3"/>
  <c r="E15" i="3"/>
  <c r="F15" i="3" l="1"/>
  <c r="C17" i="3"/>
  <c r="E16" i="3"/>
  <c r="D16" i="3"/>
  <c r="F16" i="3" l="1"/>
  <c r="E17" i="3"/>
  <c r="D17" i="3"/>
  <c r="C18" i="3"/>
  <c r="F17" i="3" l="1"/>
  <c r="C19" i="3"/>
  <c r="E18" i="3"/>
  <c r="D18" i="3"/>
  <c r="C20" i="3" l="1"/>
  <c r="E19" i="3"/>
  <c r="D19" i="3"/>
  <c r="F18" i="3"/>
  <c r="F19" i="3" l="1"/>
  <c r="E20" i="3"/>
  <c r="D20" i="3"/>
  <c r="C21" i="3"/>
  <c r="F20" i="3" l="1"/>
  <c r="C22" i="3"/>
  <c r="E21" i="3"/>
  <c r="D21" i="3"/>
  <c r="D22" i="3" l="1"/>
  <c r="C23" i="3"/>
  <c r="E22" i="3"/>
  <c r="F21" i="3"/>
  <c r="F22" i="3" l="1"/>
  <c r="D23" i="3"/>
  <c r="E23" i="3"/>
  <c r="C24" i="3"/>
  <c r="C25" i="3" l="1"/>
  <c r="D24" i="3"/>
  <c r="E24" i="3"/>
  <c r="F23" i="3"/>
  <c r="E25" i="3" l="1"/>
  <c r="D25" i="3"/>
  <c r="C26" i="3"/>
  <c r="F24" i="3"/>
  <c r="C27" i="3" l="1"/>
  <c r="E26" i="3"/>
  <c r="D26" i="3"/>
  <c r="F25" i="3"/>
  <c r="F26" i="3" l="1"/>
  <c r="C28" i="3"/>
  <c r="E27" i="3"/>
  <c r="D27" i="3"/>
  <c r="F27" i="3" l="1"/>
  <c r="E28" i="3"/>
  <c r="D28" i="3"/>
  <c r="C29" i="3"/>
  <c r="C30" i="3" l="1"/>
  <c r="E29" i="3"/>
  <c r="D29" i="3"/>
  <c r="F28" i="3"/>
  <c r="F29" i="3" l="1"/>
  <c r="D30" i="3"/>
  <c r="C31" i="3"/>
  <c r="E30" i="3"/>
  <c r="F30" i="3" l="1"/>
  <c r="E31" i="3"/>
  <c r="D31" i="3"/>
  <c r="C32" i="3"/>
  <c r="C33" i="3" l="1"/>
  <c r="E32" i="3"/>
  <c r="D32" i="3"/>
  <c r="F31" i="3"/>
  <c r="F32" i="3" l="1"/>
  <c r="E33" i="3"/>
  <c r="D33" i="3"/>
  <c r="C34" i="3"/>
  <c r="C35" i="3" l="1"/>
  <c r="E34" i="3"/>
  <c r="D34" i="3"/>
  <c r="F33" i="3"/>
  <c r="F34" i="3" l="1"/>
  <c r="C36" i="3"/>
  <c r="D35" i="3"/>
  <c r="E35" i="3"/>
  <c r="D36" i="3" l="1"/>
  <c r="E36" i="3"/>
  <c r="C37" i="3"/>
  <c r="F35" i="3"/>
  <c r="C38" i="3" l="1"/>
  <c r="E37" i="3"/>
  <c r="D37" i="3"/>
  <c r="F36" i="3"/>
  <c r="F37" i="3" l="1"/>
  <c r="D38" i="3"/>
  <c r="C39" i="3"/>
  <c r="E38" i="3"/>
  <c r="E39" i="3" l="1"/>
  <c r="D39" i="3"/>
  <c r="C40" i="3"/>
  <c r="F38" i="3"/>
  <c r="C41" i="3" l="1"/>
  <c r="E40" i="3"/>
  <c r="D40" i="3"/>
  <c r="F39" i="3"/>
  <c r="F40" i="3" l="1"/>
  <c r="E41" i="3"/>
  <c r="D41" i="3"/>
  <c r="C42" i="3"/>
  <c r="F41" i="3" l="1"/>
  <c r="C43" i="3"/>
  <c r="E42" i="3"/>
  <c r="D42" i="3"/>
  <c r="F42" i="3" l="1"/>
  <c r="C44" i="3"/>
  <c r="E43" i="3"/>
  <c r="D43" i="3"/>
  <c r="F43" i="3" l="1"/>
  <c r="D44" i="3"/>
  <c r="E44" i="3"/>
  <c r="F44" i="3" l="1"/>
  <c r="L26" i="5" l="1"/>
  <c r="F26" i="5"/>
  <c r="K8" i="10"/>
  <c r="W8" i="10"/>
  <c r="J9" i="10"/>
  <c r="F13" i="10"/>
  <c r="H13" i="10"/>
  <c r="R13" i="10"/>
  <c r="T13" i="10"/>
  <c r="F15" i="10"/>
  <c r="H15" i="10"/>
  <c r="R15" i="10"/>
  <c r="T15" i="10"/>
  <c r="F19" i="10"/>
  <c r="H19" i="10"/>
  <c r="R19" i="10"/>
  <c r="T19" i="10"/>
  <c r="F22" i="10"/>
  <c r="H22" i="10"/>
  <c r="R22" i="10"/>
  <c r="T22" i="10"/>
  <c r="F25" i="10"/>
  <c r="H25" i="10"/>
  <c r="R25" i="10"/>
  <c r="T25" i="10"/>
  <c r="H29" i="10"/>
  <c r="T29" i="10"/>
  <c r="F31" i="10"/>
  <c r="H31" i="10"/>
  <c r="U31" i="10"/>
  <c r="F34" i="10"/>
  <c r="H34" i="10"/>
  <c r="R34" i="10"/>
  <c r="T34" i="10"/>
  <c r="D38" i="10"/>
  <c r="R38" i="10"/>
</calcChain>
</file>

<file path=xl/sharedStrings.xml><?xml version="1.0" encoding="utf-8"?>
<sst xmlns="http://schemas.openxmlformats.org/spreadsheetml/2006/main" count="316" uniqueCount="159">
  <si>
    <t>Directions for using the Compensation &amp; Benefit Worksheet</t>
  </si>
  <si>
    <t>Enter the year of Ordination in the yellow box (The formulas will not work for pastor ordained more than 40 years ago.  You will need to use custom amounts.)</t>
  </si>
  <si>
    <t>year of ordination</t>
  </si>
  <si>
    <t>housing % of base</t>
  </si>
  <si>
    <t>Contact Portico Benefit Services (online calculator is available).  Enter the amounts for Health Insurance and Disability/Other Insurance in the Blue Boxes.  The amounts are based on total defined compensation.</t>
  </si>
  <si>
    <t>Portico amounts</t>
  </si>
  <si>
    <t>Enter all other amounts applicable in the grey boxes.  If the category does not apply, simply leave the box empty</t>
  </si>
  <si>
    <t>enter custom amounts</t>
  </si>
  <si>
    <t>All other cells will update as information is entered or changed.  The cells are locked.</t>
  </si>
  <si>
    <t>formula driven</t>
  </si>
  <si>
    <t>Year of Ordination</t>
  </si>
  <si>
    <t>Housing Allowance % of Base</t>
  </si>
  <si>
    <t>Current Year</t>
  </si>
  <si>
    <t>Currently Monthly</t>
  </si>
  <si>
    <t>Next Year - Low Guideline</t>
  </si>
  <si>
    <t>Change 2019 to 2020</t>
  </si>
  <si>
    <t>Next year- low monthly</t>
  </si>
  <si>
    <t>Next Year - High Guideline</t>
  </si>
  <si>
    <t>Next year - high monthly</t>
  </si>
  <si>
    <t>Next Year - Custom 1</t>
  </si>
  <si>
    <t>Next year - custom monthly</t>
  </si>
  <si>
    <t>Next Year - Custom 2</t>
  </si>
  <si>
    <t>Defined Compensation</t>
  </si>
  <si>
    <t>A1</t>
  </si>
  <si>
    <t>Base Salary</t>
  </si>
  <si>
    <t>A2</t>
  </si>
  <si>
    <t xml:space="preserve">     (FICA-yes, income tax exempt)</t>
  </si>
  <si>
    <t>A3</t>
  </si>
  <si>
    <t>Additional Considerations</t>
  </si>
  <si>
    <t>A4</t>
  </si>
  <si>
    <t>FICA Reimbursement</t>
  </si>
  <si>
    <t>(7.65% of A1+A2+A3)</t>
  </si>
  <si>
    <t>A5</t>
  </si>
  <si>
    <t>Total Defined Compensation (A1+A2+A3+A4)</t>
  </si>
  <si>
    <t>Additional Compensation</t>
  </si>
  <si>
    <t>B1</t>
  </si>
  <si>
    <t>Annuities, Additional Pension</t>
  </si>
  <si>
    <t>B2</t>
  </si>
  <si>
    <t>Other Compensation</t>
  </si>
  <si>
    <t>B3</t>
  </si>
  <si>
    <t>Total Additional Compensation (B1+B2)</t>
  </si>
  <si>
    <t>ELCA Pension &amp; Benefits</t>
  </si>
  <si>
    <t>C1</t>
  </si>
  <si>
    <t>Pension (10% * A5)</t>
  </si>
  <si>
    <t>C2</t>
  </si>
  <si>
    <t>C3</t>
  </si>
  <si>
    <t>C4</t>
  </si>
  <si>
    <t>Total Pension and Benefits (C1+C2+C3)</t>
  </si>
  <si>
    <t>TOTAL COMPENSATION &amp; BENEFITS  (A5+B3+C4)</t>
  </si>
  <si>
    <t>2018 Budget Total Comp + Benefits = $86,230</t>
  </si>
  <si>
    <t>Other Reimbursements</t>
  </si>
  <si>
    <t>D1</t>
  </si>
  <si>
    <t>Automobile/Mileage     www.irs.gov</t>
  </si>
  <si>
    <t>D2</t>
  </si>
  <si>
    <t>Business/Professional</t>
  </si>
  <si>
    <t>D3</t>
  </si>
  <si>
    <t>Continuing Edudation</t>
  </si>
  <si>
    <t>D4</t>
  </si>
  <si>
    <t>Books/Subscriptions</t>
  </si>
  <si>
    <t>D5</t>
  </si>
  <si>
    <t>Other _______</t>
  </si>
  <si>
    <t>Weeks of Vacation / Sundays of Vacation</t>
  </si>
  <si>
    <t>This sheet shows</t>
  </si>
  <si>
    <t>increase in Year 0 with a standardized declining difference using the Ratable % calculated from 4.09% to 2.3% and Ratable Increase calculated from 1.8% to .34%</t>
  </si>
  <si>
    <t>Years of Experience</t>
  </si>
  <si>
    <t>Low</t>
  </si>
  <si>
    <t>% Increase</t>
  </si>
  <si>
    <t>High with Ratable % Difference</t>
  </si>
  <si>
    <t>% Difference</t>
  </si>
  <si>
    <t>Housing 50% Low</t>
  </si>
  <si>
    <t>Social Security 7.65% Low</t>
  </si>
  <si>
    <t>Total Defined Compensation Low</t>
  </si>
  <si>
    <t>Housing 50% High</t>
  </si>
  <si>
    <t>Social Security 7.65% High</t>
  </si>
  <si>
    <t>Total Defined Compensation High</t>
  </si>
  <si>
    <t>Year</t>
  </si>
  <si>
    <t>Ratable % Difference</t>
  </si>
  <si>
    <t>Calcuation</t>
  </si>
  <si>
    <t>Ratable % Increase</t>
  </si>
  <si>
    <t>Calculation</t>
  </si>
  <si>
    <t>Graduate</t>
  </si>
  <si>
    <t>Guidelines for 2023 reflect a 4.5% increase over the 2022 base for a new graduate</t>
  </si>
  <si>
    <t>increase in Graduate (Year 0)  2022 to 2023</t>
  </si>
  <si>
    <t>Ratable % Difference Low to High</t>
  </si>
  <si>
    <t>Ratable % Increase with increased years</t>
  </si>
  <si>
    <t>=(.0409-.023)/40</t>
  </si>
  <si>
    <t>=(.02-.034)/40</t>
  </si>
  <si>
    <t>40+</t>
  </si>
  <si>
    <t>1982 &amp; earlier</t>
  </si>
  <si>
    <t>add $500 per year of service</t>
  </si>
  <si>
    <t>$1500/mon</t>
  </si>
  <si>
    <t>Low Guideline</t>
  </si>
  <si>
    <t>High Guideline</t>
  </si>
  <si>
    <r>
      <t xml:space="preserve">Custom 1- </t>
    </r>
    <r>
      <rPr>
        <b/>
        <u/>
        <sz val="20"/>
        <color theme="1"/>
        <rFont val="Times New Roman"/>
        <family val="1"/>
      </rPr>
      <t>LOW</t>
    </r>
  </si>
  <si>
    <t>custom 1 monthly</t>
  </si>
  <si>
    <r>
      <t xml:space="preserve">Custom 2 - </t>
    </r>
    <r>
      <rPr>
        <b/>
        <u/>
        <sz val="20"/>
        <color theme="1"/>
        <rFont val="Times New Roman"/>
        <family val="1"/>
      </rPr>
      <t>HIGH</t>
    </r>
  </si>
  <si>
    <t>custom 2 monthly</t>
  </si>
  <si>
    <t>Housing Allowance</t>
  </si>
  <si>
    <t>increase in Year 0 from 2023</t>
  </si>
  <si>
    <t xml:space="preserve"> 5.0%</t>
  </si>
  <si>
    <t xml:space="preserve">      increase in Year 0 with a standardized declining difference using the Ratable % calculated from 4.09% to 2.3% and Ratable Increase calculated from 1.8% to .34%</t>
  </si>
  <si>
    <t>Disability/Other -0.5% of A5</t>
  </si>
  <si>
    <t>Disability/Other - 0.5% of A5</t>
  </si>
  <si>
    <t>Housing Allowance (Max = 50% of Base Salary)</t>
  </si>
  <si>
    <t>Sabbath Day</t>
  </si>
  <si>
    <t>Total Compensation Package</t>
  </si>
  <si>
    <t>T1</t>
  </si>
  <si>
    <t>Health Insurance **</t>
  </si>
  <si>
    <t>**</t>
  </si>
  <si>
    <t>Disability / Basic Group Life</t>
  </si>
  <si>
    <t xml:space="preserve">Retirement / Pension </t>
  </si>
  <si>
    <t>per month</t>
  </si>
  <si>
    <t>Annual</t>
  </si>
  <si>
    <t>TOTAL COST OF BENEFITS</t>
  </si>
  <si>
    <t xml:space="preserve">Housing Allowance </t>
  </si>
  <si>
    <t xml:space="preserve">  (FICA-yes, income tax exempt)</t>
  </si>
  <si>
    <t>FICA Reimbursement (7.65%)</t>
  </si>
  <si>
    <t>Amount for Base Salary &amp; Housing Allowance</t>
  </si>
  <si>
    <t>Need to start with "close" salary &amp; age to determine health cost.  
For low compensation calls, the "minimum" premium will most likely apply.  ($500-960/month) 
Each "extra" is an equal insurance premium
The age of pastor is key to premium (11.5-22.5% range)</t>
  </si>
  <si>
    <t>Amount Available for DEFINED COMPENSATION</t>
  </si>
  <si>
    <t>BASE SALARY</t>
  </si>
  <si>
    <t>check</t>
  </si>
  <si>
    <t>Parsonage valued at 30% of Base Salary</t>
  </si>
  <si>
    <t>B4</t>
  </si>
  <si>
    <t>Housing Equity Allowance</t>
  </si>
  <si>
    <t>Value of Parsonage - NOT cash expense for Payroll</t>
  </si>
  <si>
    <t>Housing Equity Allowance - minimum $1800 annually</t>
  </si>
  <si>
    <t>Enter the % of Base Salary for the Housing Allowance in the green box.
You can override the % with a fixed dollar amount.  
(When there is a parsonage, Portico values the parsonage &amp; expenses at 30% of base salary)</t>
  </si>
  <si>
    <t>NO Parsonage - Housing Allowance</t>
  </si>
  <si>
    <t xml:space="preserve">Parsonage Provided &amp; Housing Equity Allowance </t>
  </si>
  <si>
    <t>Candidate - Year Ordained</t>
  </si>
  <si>
    <t>Guideline for Candidate</t>
  </si>
  <si>
    <t>Salary Available as % of Guideline</t>
  </si>
  <si>
    <t>Parttime (% of base)</t>
  </si>
  <si>
    <t>Custom 3 - LOW</t>
  </si>
  <si>
    <t>custom 3 monthly</t>
  </si>
  <si>
    <t>Pension Contribution if more than 10%</t>
  </si>
  <si>
    <t>C5</t>
  </si>
  <si>
    <t>Total Pension and Benefits (C1+C2+C3+C4)</t>
  </si>
  <si>
    <t>Housing Equity - NA with Housing Allowance</t>
  </si>
  <si>
    <t>Compensation Calculator EXAMPLES</t>
  </si>
  <si>
    <t>Pension (minimum 10% * A5)</t>
  </si>
  <si>
    <t>Minister Compensation Calculator</t>
  </si>
  <si>
    <t>NA</t>
  </si>
  <si>
    <t>Housing Allowance % of Base (Max 50%)</t>
  </si>
  <si>
    <t>If the minister is serving a less than full time (part-time) call, enter the % of base to be used</t>
  </si>
  <si>
    <t>If the Pension contribution is more than 10%, enter the % of defined compensation to be used.</t>
  </si>
  <si>
    <t>Additional Considerations (multi point, large congregation etc.)</t>
  </si>
  <si>
    <t>% of fulltime</t>
  </si>
  <si>
    <t>Pension %</t>
  </si>
  <si>
    <t>Next year- 
low monthly</t>
  </si>
  <si>
    <r>
      <t xml:space="preserve">This example is for pastor </t>
    </r>
    <r>
      <rPr>
        <b/>
        <sz val="16"/>
        <color theme="1"/>
        <rFont val="Times New Roman"/>
        <family val="1"/>
      </rPr>
      <t>ordained in 2008</t>
    </r>
    <r>
      <rPr>
        <sz val="16"/>
        <color theme="1"/>
        <rFont val="Times New Roman"/>
        <family val="1"/>
      </rPr>
      <t xml:space="preserve"> (born 1980).  The Housing allowance is 50% of base salary.  The minister is married and the health insurance is for an employee+spouse at the 
</t>
    </r>
    <r>
      <rPr>
        <b/>
        <sz val="16"/>
        <color theme="1"/>
        <rFont val="Times New Roman"/>
        <family val="1"/>
      </rPr>
      <t>Select Copay2000</t>
    </r>
    <r>
      <rPr>
        <sz val="16"/>
        <color theme="1"/>
        <rFont val="Times New Roman"/>
        <family val="1"/>
      </rPr>
      <t xml:space="preserve"> level.</t>
    </r>
  </si>
  <si>
    <r>
      <t xml:space="preserve">Pastor ordained 2020 (born 1993) 
 Housing is flat $1,500/mon 
Health Ins is for only the pastor &amp; </t>
    </r>
    <r>
      <rPr>
        <b/>
        <sz val="16"/>
        <color theme="1"/>
        <rFont val="Times New Roman"/>
        <family val="1"/>
      </rPr>
      <t>Select HDHP2000 &amp; $500 HSA</t>
    </r>
  </si>
  <si>
    <r>
      <t xml:space="preserve">Pastor ordained in 2015 (born 1988).    
50% housing  Add 2 point parish
Health Ins is for only the pastor 
</t>
    </r>
    <r>
      <rPr>
        <b/>
        <sz val="16"/>
        <color theme="1"/>
        <rFont val="Times New Roman"/>
        <family val="1"/>
      </rPr>
      <t>Select HDHP2000 &amp; $500 HSA</t>
    </r>
  </si>
  <si>
    <r>
      <t xml:space="preserve">Part-time Ministry  ordained 2015 
(born 1988) housing flat $1250/mon
Health Ins is for only the pastor 
</t>
    </r>
    <r>
      <rPr>
        <b/>
        <sz val="16"/>
        <color theme="1"/>
        <rFont val="Times New Roman"/>
        <family val="1"/>
      </rPr>
      <t>Select HDHP2000 &amp; $500 HSA</t>
    </r>
    <r>
      <rPr>
        <sz val="16"/>
        <color theme="1"/>
        <rFont val="Times New Roman"/>
        <family val="1"/>
      </rPr>
      <t xml:space="preserve">
pension increased to 12%</t>
    </r>
  </si>
  <si>
    <t>Health Ins (with HSA) - check with Portico</t>
  </si>
  <si>
    <t>Health Ins (with HSA if applicable) - 
check with Portico</t>
  </si>
  <si>
    <t>$1250/mon</t>
  </si>
  <si>
    <t>2.5%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</si>
</sst>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0.0%"/>
    <numFmt numFmtId="167" formatCode="_(\$* #,##0.00_);_(\$* \(#,##0.00\);_(\$* \-??_);_(@_)"/>
    <numFmt numFmtId="168" formatCode="_(\$* #,##0_);_(\$* \(#,##0\);_(\$* \-??_);_(@_)"/>
    <numFmt numFmtId="169" formatCode="0.000%"/>
    <numFmt numFmtId="170" formatCode="0.0000000%"/>
    <numFmt numFmtId="171" formatCode="0.0000%"/>
    <numFmt numFmtId="172" formatCode="_(* #,##0.00000_);_(* \(#,##0.000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6"/>
      <color theme="1"/>
      <name val="Times New Roman"/>
      <family val="1"/>
    </font>
    <font>
      <sz val="12"/>
      <color indexed="8"/>
      <name val="Calibri"/>
      <family val="2"/>
      <charset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16"/>
      <color theme="1"/>
      <name val="Times New Roman"/>
      <family val="1"/>
    </font>
    <font>
      <b/>
      <i/>
      <sz val="18"/>
      <color theme="1"/>
      <name val="Times New Roman"/>
      <family val="1"/>
    </font>
    <font>
      <u/>
      <sz val="12"/>
      <color theme="1"/>
      <name val="Times New Roman"/>
      <family val="1"/>
    </font>
    <font>
      <u/>
      <sz val="11"/>
      <color indexed="8"/>
      <name val="Times New Roman"/>
      <family val="1"/>
    </font>
    <font>
      <sz val="20"/>
      <color theme="1"/>
      <name val="Times New Roman"/>
      <family val="1"/>
    </font>
    <font>
      <b/>
      <u/>
      <sz val="20"/>
      <color theme="1"/>
      <name val="Times New Roman"/>
      <family val="1"/>
    </font>
    <font>
      <u/>
      <sz val="12"/>
      <color indexed="8"/>
      <name val="Calibri"/>
      <family val="2"/>
      <charset val="1"/>
    </font>
    <font>
      <i/>
      <sz val="14"/>
      <color theme="1"/>
      <name val="Times New Roman"/>
      <family val="1"/>
    </font>
    <font>
      <sz val="18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u/>
      <sz val="16"/>
      <color theme="1"/>
      <name val="Times New Roman"/>
      <family val="1"/>
    </font>
    <font>
      <b/>
      <u/>
      <sz val="14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u/>
      <sz val="18"/>
      <color theme="1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theme="8" tint="0.79998168889431442"/>
      </patternFill>
    </fill>
    <fill>
      <patternFill patternType="solid">
        <fgColor theme="5" tint="0.79998168889431442"/>
        <b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43"/>
        <bgColor indexed="64"/>
      </patternFill>
    </fill>
    <fill>
      <patternFill patternType="solid">
        <fgColor rgb="FFCCCCFF"/>
        <bgColor indexed="22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EA4D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FAD8"/>
        <bgColor indexed="64"/>
      </patternFill>
    </fill>
    <fill>
      <patternFill patternType="lightUp">
        <fgColor theme="1"/>
      </patternFill>
    </fill>
    <fill>
      <patternFill patternType="gray0625">
        <bgColor theme="8" tint="0.79995117038483843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/>
      <right/>
      <top/>
      <bottom/>
      <diagonal style="dotted">
        <color auto="1"/>
      </diagonal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9" fontId="14" fillId="0" borderId="0"/>
    <xf numFmtId="167" fontId="14" fillId="0" borderId="0"/>
    <xf numFmtId="43" fontId="1" fillId="0" borderId="0" applyFont="0" applyFill="0" applyBorder="0" applyAlignment="0" applyProtection="0"/>
  </cellStyleXfs>
  <cellXfs count="426">
    <xf numFmtId="0" fontId="0" fillId="0" borderId="0" xfId="0"/>
    <xf numFmtId="0" fontId="15" fillId="0" borderId="0" xfId="3" applyFont="1"/>
    <xf numFmtId="0" fontId="16" fillId="0" borderId="0" xfId="3" applyFont="1" applyAlignment="1">
      <alignment vertical="center" wrapText="1"/>
    </xf>
    <xf numFmtId="168" fontId="17" fillId="3" borderId="0" xfId="5" applyNumberFormat="1" applyFont="1" applyFill="1"/>
    <xf numFmtId="168" fontId="16" fillId="0" borderId="0" xfId="5" applyNumberFormat="1" applyFont="1"/>
    <xf numFmtId="168" fontId="16" fillId="3" borderId="0" xfId="5" applyNumberFormat="1" applyFont="1" applyFill="1"/>
    <xf numFmtId="10" fontId="15" fillId="0" borderId="0" xfId="4" applyNumberFormat="1" applyFont="1"/>
    <xf numFmtId="10" fontId="15" fillId="0" borderId="0" xfId="3" applyNumberFormat="1" applyFont="1"/>
    <xf numFmtId="169" fontId="15" fillId="0" borderId="0" xfId="4" applyNumberFormat="1" applyFont="1"/>
    <xf numFmtId="170" fontId="15" fillId="0" borderId="0" xfId="4" applyNumberFormat="1" applyFont="1"/>
    <xf numFmtId="10" fontId="16" fillId="0" borderId="0" xfId="4" applyNumberFormat="1" applyFont="1"/>
    <xf numFmtId="170" fontId="18" fillId="0" borderId="0" xfId="3" quotePrefix="1" applyNumberFormat="1" applyFont="1" applyAlignment="1">
      <alignment horizontal="right"/>
    </xf>
    <xf numFmtId="171" fontId="15" fillId="0" borderId="0" xfId="4" applyNumberFormat="1" applyFont="1"/>
    <xf numFmtId="0" fontId="18" fillId="0" borderId="0" xfId="3" quotePrefix="1" applyFont="1" applyAlignment="1">
      <alignment horizontal="right" indent="1"/>
    </xf>
    <xf numFmtId="0" fontId="15" fillId="4" borderId="0" xfId="3" applyFont="1" applyFill="1"/>
    <xf numFmtId="0" fontId="16" fillId="0" borderId="0" xfId="3" applyFont="1"/>
    <xf numFmtId="0" fontId="15" fillId="0" borderId="0" xfId="3" applyFont="1" applyAlignment="1">
      <alignment horizontal="center" vertical="center" wrapText="1"/>
    </xf>
    <xf numFmtId="0" fontId="19" fillId="0" borderId="0" xfId="3" applyFont="1"/>
    <xf numFmtId="0" fontId="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5" fillId="8" borderId="0" xfId="3" applyFont="1" applyFill="1"/>
    <xf numFmtId="168" fontId="16" fillId="8" borderId="0" xfId="5" applyNumberFormat="1" applyFont="1" applyFill="1"/>
    <xf numFmtId="10" fontId="16" fillId="8" borderId="0" xfId="4" applyNumberFormat="1" applyFont="1" applyFill="1"/>
    <xf numFmtId="10" fontId="15" fillId="8" borderId="0" xfId="4" applyNumberFormat="1" applyFont="1" applyFill="1"/>
    <xf numFmtId="0" fontId="15" fillId="9" borderId="0" xfId="3" applyFont="1" applyFill="1"/>
    <xf numFmtId="10" fontId="15" fillId="9" borderId="0" xfId="3" applyNumberFormat="1" applyFont="1" applyFill="1"/>
    <xf numFmtId="10" fontId="15" fillId="8" borderId="0" xfId="3" applyNumberFormat="1" applyFont="1" applyFill="1"/>
    <xf numFmtId="0" fontId="16" fillId="0" borderId="0" xfId="3" applyFont="1" applyAlignment="1">
      <alignment horizontal="center" vertical="center" wrapText="1"/>
    </xf>
    <xf numFmtId="0" fontId="15" fillId="0" borderId="0" xfId="3" applyFont="1" applyAlignment="1">
      <alignment vertical="center"/>
    </xf>
    <xf numFmtId="166" fontId="23" fillId="3" borderId="0" xfId="4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164" fontId="5" fillId="0" borderId="0" xfId="1" applyNumberFormat="1" applyFont="1" applyFill="1" applyAlignment="1" applyProtection="1">
      <alignment wrapText="1"/>
    </xf>
    <xf numFmtId="164" fontId="5" fillId="0" borderId="0" xfId="1" applyNumberFormat="1" applyFont="1" applyFill="1" applyBorder="1" applyAlignment="1" applyProtection="1">
      <alignment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64" fontId="3" fillId="0" borderId="0" xfId="1" applyNumberFormat="1" applyFont="1" applyAlignment="1" applyProtection="1">
      <alignment wrapText="1"/>
    </xf>
    <xf numFmtId="164" fontId="3" fillId="0" borderId="0" xfId="1" applyNumberFormat="1" applyFont="1" applyBorder="1" applyAlignment="1" applyProtection="1">
      <alignment wrapText="1"/>
    </xf>
    <xf numFmtId="0" fontId="2" fillId="0" borderId="0" xfId="0" applyFont="1" applyAlignment="1">
      <alignment wrapText="1"/>
    </xf>
    <xf numFmtId="164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7" fillId="0" borderId="1" xfId="1" applyNumberFormat="1" applyFont="1" applyBorder="1" applyAlignment="1" applyProtection="1">
      <alignment horizontal="center" wrapText="1"/>
    </xf>
    <xf numFmtId="164" fontId="7" fillId="0" borderId="0" xfId="1" applyNumberFormat="1" applyFont="1" applyBorder="1" applyAlignment="1" applyProtection="1">
      <alignment horizontal="center" wrapText="1"/>
    </xf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wrapText="1"/>
    </xf>
    <xf numFmtId="164" fontId="5" fillId="0" borderId="0" xfId="1" applyNumberFormat="1" applyFont="1" applyAlignment="1" applyProtection="1">
      <alignment wrapText="1"/>
    </xf>
    <xf numFmtId="164" fontId="5" fillId="0" borderId="0" xfId="1" applyNumberFormat="1" applyFont="1" applyBorder="1" applyAlignment="1" applyProtection="1">
      <alignment wrapText="1"/>
    </xf>
    <xf numFmtId="164" fontId="4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5" fillId="0" borderId="0" xfId="1" applyNumberFormat="1" applyFont="1" applyAlignment="1" applyProtection="1">
      <alignment wrapText="1"/>
    </xf>
    <xf numFmtId="165" fontId="5" fillId="0" borderId="0" xfId="1" applyNumberFormat="1" applyFont="1" applyBorder="1" applyAlignment="1" applyProtection="1">
      <alignment wrapText="1"/>
    </xf>
    <xf numFmtId="165" fontId="3" fillId="0" borderId="0" xfId="0" applyNumberFormat="1" applyFont="1" applyAlignment="1">
      <alignment wrapText="1"/>
    </xf>
    <xf numFmtId="165" fontId="5" fillId="0" borderId="0" xfId="0" applyNumberFormat="1" applyFont="1" applyAlignment="1">
      <alignment wrapText="1"/>
    </xf>
    <xf numFmtId="164" fontId="4" fillId="0" borderId="0" xfId="0" applyNumberFormat="1" applyFont="1" applyAlignment="1">
      <alignment wrapText="1"/>
    </xf>
    <xf numFmtId="165" fontId="10" fillId="0" borderId="0" xfId="0" applyNumberFormat="1" applyFont="1" applyAlignment="1">
      <alignment horizontal="right" wrapText="1"/>
    </xf>
    <xf numFmtId="165" fontId="10" fillId="2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164" fontId="11" fillId="0" borderId="1" xfId="0" applyNumberFormat="1" applyFont="1" applyBorder="1" applyAlignment="1">
      <alignment wrapText="1"/>
    </xf>
    <xf numFmtId="165" fontId="10" fillId="0" borderId="1" xfId="0" applyNumberFormat="1" applyFont="1" applyBorder="1" applyAlignment="1">
      <alignment horizontal="right" wrapText="1"/>
    </xf>
    <xf numFmtId="165" fontId="5" fillId="0" borderId="1" xfId="1" applyNumberFormat="1" applyFont="1" applyBorder="1" applyAlignment="1" applyProtection="1">
      <alignment wrapText="1"/>
    </xf>
    <xf numFmtId="165" fontId="3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165" fontId="4" fillId="0" borderId="3" xfId="0" applyNumberFormat="1" applyFont="1" applyBorder="1" applyAlignment="1">
      <alignment wrapText="1"/>
    </xf>
    <xf numFmtId="165" fontId="5" fillId="0" borderId="3" xfId="1" applyNumberFormat="1" applyFont="1" applyBorder="1" applyAlignment="1" applyProtection="1">
      <alignment wrapText="1"/>
    </xf>
    <xf numFmtId="165" fontId="3" fillId="0" borderId="3" xfId="0" applyNumberFormat="1" applyFont="1" applyBorder="1" applyAlignment="1">
      <alignment wrapText="1"/>
    </xf>
    <xf numFmtId="165" fontId="5" fillId="0" borderId="3" xfId="0" applyNumberFormat="1" applyFont="1" applyBorder="1" applyAlignment="1">
      <alignment wrapText="1"/>
    </xf>
    <xf numFmtId="165" fontId="20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165" fontId="12" fillId="0" borderId="0" xfId="0" applyNumberFormat="1" applyFont="1" applyAlignment="1">
      <alignment horizontal="right" wrapText="1"/>
    </xf>
    <xf numFmtId="164" fontId="8" fillId="0" borderId="1" xfId="0" applyNumberFormat="1" applyFont="1" applyBorder="1" applyAlignment="1">
      <alignment wrapText="1"/>
    </xf>
    <xf numFmtId="165" fontId="12" fillId="0" borderId="1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center" wrapText="1"/>
    </xf>
    <xf numFmtId="165" fontId="10" fillId="0" borderId="0" xfId="0" applyNumberFormat="1" applyFont="1" applyAlignment="1">
      <alignment wrapText="1"/>
    </xf>
    <xf numFmtId="164" fontId="10" fillId="0" borderId="0" xfId="0" applyNumberFormat="1" applyFont="1" applyAlignment="1">
      <alignment wrapText="1"/>
    </xf>
    <xf numFmtId="165" fontId="10" fillId="7" borderId="2" xfId="0" applyNumberFormat="1" applyFont="1" applyFill="1" applyBorder="1" applyAlignment="1">
      <alignment wrapText="1"/>
    </xf>
    <xf numFmtId="164" fontId="4" fillId="0" borderId="0" xfId="0" applyNumberFormat="1" applyFont="1" applyAlignment="1">
      <alignment horizontal="center" wrapText="1"/>
    </xf>
    <xf numFmtId="165" fontId="11" fillId="0" borderId="0" xfId="0" applyNumberFormat="1" applyFont="1" applyAlignment="1">
      <alignment wrapText="1"/>
    </xf>
    <xf numFmtId="165" fontId="10" fillId="0" borderId="1" xfId="0" applyNumberFormat="1" applyFont="1" applyBorder="1" applyAlignment="1">
      <alignment wrapText="1"/>
    </xf>
    <xf numFmtId="164" fontId="2" fillId="0" borderId="4" xfId="0" applyNumberFormat="1" applyFont="1" applyBorder="1" applyAlignment="1">
      <alignment wrapText="1"/>
    </xf>
    <xf numFmtId="165" fontId="12" fillId="0" borderId="4" xfId="0" applyNumberFormat="1" applyFont="1" applyBorder="1" applyAlignment="1">
      <alignment wrapText="1"/>
    </xf>
    <xf numFmtId="165" fontId="5" fillId="0" borderId="4" xfId="1" applyNumberFormat="1" applyFont="1" applyBorder="1" applyAlignment="1" applyProtection="1">
      <alignment wrapText="1"/>
    </xf>
    <xf numFmtId="165" fontId="5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wrapText="1"/>
    </xf>
    <xf numFmtId="165" fontId="5" fillId="0" borderId="0" xfId="2" applyNumberFormat="1" applyFont="1" applyAlignment="1" applyProtection="1">
      <alignment wrapText="1"/>
    </xf>
    <xf numFmtId="165" fontId="5" fillId="0" borderId="0" xfId="2" applyNumberFormat="1" applyFont="1" applyFill="1" applyAlignment="1" applyProtection="1">
      <alignment wrapText="1"/>
    </xf>
    <xf numFmtId="164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wrapText="1"/>
    </xf>
    <xf numFmtId="165" fontId="7" fillId="0" borderId="0" xfId="1" applyNumberFormat="1" applyFont="1" applyAlignment="1" applyProtection="1">
      <alignment horizontal="center" wrapText="1"/>
    </xf>
    <xf numFmtId="165" fontId="7" fillId="0" borderId="0" xfId="1" applyNumberFormat="1" applyFont="1" applyBorder="1" applyAlignment="1" applyProtection="1">
      <alignment horizontal="center" wrapText="1"/>
    </xf>
    <xf numFmtId="165" fontId="7" fillId="0" borderId="0" xfId="0" applyNumberFormat="1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165" fontId="9" fillId="2" borderId="2" xfId="0" applyNumberFormat="1" applyFont="1" applyFill="1" applyBorder="1" applyAlignment="1" applyProtection="1">
      <alignment horizontal="right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165" fontId="10" fillId="7" borderId="2" xfId="0" applyNumberFormat="1" applyFont="1" applyFill="1" applyBorder="1" applyAlignment="1" applyProtection="1">
      <alignment wrapText="1"/>
      <protection locked="0"/>
    </xf>
    <xf numFmtId="165" fontId="9" fillId="5" borderId="2" xfId="0" applyNumberFormat="1" applyFont="1" applyFill="1" applyBorder="1" applyAlignment="1" applyProtection="1">
      <alignment horizontal="right" wrapText="1"/>
      <protection locked="0"/>
    </xf>
    <xf numFmtId="165" fontId="10" fillId="6" borderId="2" xfId="0" applyNumberFormat="1" applyFont="1" applyFill="1" applyBorder="1" applyAlignment="1" applyProtection="1">
      <alignment horizontal="right" wrapText="1"/>
      <protection locked="0"/>
    </xf>
    <xf numFmtId="165" fontId="12" fillId="0" borderId="0" xfId="0" applyNumberFormat="1" applyFont="1" applyAlignment="1" applyProtection="1">
      <alignment horizontal="right" wrapText="1"/>
      <protection locked="0"/>
    </xf>
    <xf numFmtId="165" fontId="9" fillId="10" borderId="2" xfId="0" applyNumberFormat="1" applyFont="1" applyFill="1" applyBorder="1" applyAlignment="1" applyProtection="1">
      <alignment horizontal="right" wrapText="1"/>
      <protection locked="0"/>
    </xf>
    <xf numFmtId="165" fontId="9" fillId="11" borderId="2" xfId="0" applyNumberFormat="1" applyFont="1" applyFill="1" applyBorder="1" applyAlignment="1" applyProtection="1">
      <alignment horizontal="right" wrapText="1"/>
      <protection locked="0"/>
    </xf>
    <xf numFmtId="164" fontId="3" fillId="0" borderId="0" xfId="1" applyNumberFormat="1" applyFont="1" applyAlignment="1" applyProtection="1">
      <alignment vertical="center" wrapText="1"/>
    </xf>
    <xf numFmtId="0" fontId="3" fillId="12" borderId="0" xfId="0" applyFont="1" applyFill="1" applyAlignment="1">
      <alignment vertical="center" wrapText="1"/>
    </xf>
    <xf numFmtId="0" fontId="3" fillId="13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8" fillId="0" borderId="0" xfId="1" applyNumberFormat="1" applyFont="1" applyAlignment="1" applyProtection="1">
      <alignment vertical="center" wrapText="1"/>
    </xf>
    <xf numFmtId="0" fontId="2" fillId="12" borderId="0" xfId="0" applyFont="1" applyFill="1" applyAlignment="1">
      <alignment vertical="center" wrapText="1"/>
    </xf>
    <xf numFmtId="0" fontId="2" fillId="13" borderId="0" xfId="0" applyFont="1" applyFill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0" borderId="0" xfId="1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5" fillId="0" borderId="0" xfId="0" applyNumberFormat="1" applyFont="1" applyAlignment="1">
      <alignment vertical="center" wrapText="1"/>
    </xf>
    <xf numFmtId="165" fontId="5" fillId="0" borderId="0" xfId="1" applyNumberFormat="1" applyFont="1" applyAlignment="1" applyProtection="1">
      <alignment vertical="center" wrapText="1"/>
    </xf>
    <xf numFmtId="165" fontId="3" fillId="12" borderId="0" xfId="0" applyNumberFormat="1" applyFont="1" applyFill="1" applyAlignment="1">
      <alignment vertical="center" wrapText="1"/>
    </xf>
    <xf numFmtId="165" fontId="3" fillId="13" borderId="0" xfId="0" applyNumberFormat="1" applyFont="1" applyFill="1" applyAlignment="1">
      <alignment vertical="center" wrapText="1"/>
    </xf>
    <xf numFmtId="165" fontId="9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5" fontId="10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vertical="center" wrapText="1"/>
    </xf>
    <xf numFmtId="165" fontId="11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164" fontId="11" fillId="0" borderId="1" xfId="0" applyNumberFormat="1" applyFont="1" applyBorder="1" applyAlignment="1">
      <alignment vertical="center" wrapText="1"/>
    </xf>
    <xf numFmtId="165" fontId="5" fillId="0" borderId="0" xfId="1" applyNumberFormat="1" applyFont="1" applyBorder="1" applyAlignment="1" applyProtection="1">
      <alignment vertical="center" wrapText="1"/>
    </xf>
    <xf numFmtId="165" fontId="10" fillId="0" borderId="1" xfId="0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 applyProtection="1">
      <alignment vertical="center" wrapText="1"/>
    </xf>
    <xf numFmtId="165" fontId="5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165" fontId="4" fillId="0" borderId="3" xfId="0" applyNumberFormat="1" applyFont="1" applyBorder="1" applyAlignment="1">
      <alignment vertical="center" wrapText="1"/>
    </xf>
    <xf numFmtId="165" fontId="5" fillId="0" borderId="3" xfId="1" applyNumberFormat="1" applyFont="1" applyBorder="1" applyAlignment="1" applyProtection="1">
      <alignment vertical="center" wrapText="1"/>
    </xf>
    <xf numFmtId="165" fontId="5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5" fontId="20" fillId="0" borderId="0" xfId="0" applyNumberFormat="1" applyFont="1" applyAlignment="1">
      <alignment vertical="center" wrapText="1"/>
    </xf>
    <xf numFmtId="165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5" fontId="12" fillId="0" borderId="0" xfId="0" applyNumberFormat="1" applyFont="1" applyAlignment="1">
      <alignment horizontal="right" vertical="center" wrapText="1"/>
    </xf>
    <xf numFmtId="164" fontId="8" fillId="0" borderId="1" xfId="0" applyNumberFormat="1" applyFont="1" applyBorder="1" applyAlignment="1">
      <alignment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vertical="center" wrapText="1"/>
    </xf>
    <xf numFmtId="164" fontId="10" fillId="0" borderId="0" xfId="0" applyNumberFormat="1" applyFont="1" applyAlignment="1">
      <alignment vertical="center" wrapText="1"/>
    </xf>
    <xf numFmtId="165" fontId="11" fillId="0" borderId="0" xfId="0" applyNumberFormat="1" applyFont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5" fontId="12" fillId="0" borderId="4" xfId="0" applyNumberFormat="1" applyFont="1" applyBorder="1" applyAlignment="1">
      <alignment vertical="center" wrapText="1"/>
    </xf>
    <xf numFmtId="165" fontId="5" fillId="0" borderId="4" xfId="1" applyNumberFormat="1" applyFont="1" applyBorder="1" applyAlignment="1" applyProtection="1">
      <alignment vertical="center" wrapText="1"/>
    </xf>
    <xf numFmtId="165" fontId="5" fillId="0" borderId="4" xfId="0" applyNumberFormat="1" applyFont="1" applyBorder="1" applyAlignment="1">
      <alignment vertical="center" wrapText="1"/>
    </xf>
    <xf numFmtId="165" fontId="12" fillId="0" borderId="0" xfId="0" applyNumberFormat="1" applyFont="1" applyAlignment="1">
      <alignment vertical="center" wrapText="1"/>
    </xf>
    <xf numFmtId="165" fontId="3" fillId="0" borderId="4" xfId="0" applyNumberFormat="1" applyFont="1" applyBorder="1" applyAlignment="1">
      <alignment vertical="center" wrapText="1"/>
    </xf>
    <xf numFmtId="164" fontId="7" fillId="0" borderId="0" xfId="0" applyNumberFormat="1" applyFont="1" applyAlignment="1">
      <alignment horizontal="right" vertical="center" wrapText="1"/>
    </xf>
    <xf numFmtId="165" fontId="5" fillId="0" borderId="0" xfId="2" applyNumberFormat="1" applyFont="1" applyAlignment="1" applyProtection="1">
      <alignment vertical="center" wrapText="1"/>
    </xf>
    <xf numFmtId="165" fontId="5" fillId="0" borderId="0" xfId="2" applyNumberFormat="1" applyFont="1" applyFill="1" applyAlignment="1" applyProtection="1">
      <alignment vertical="center" wrapText="1"/>
    </xf>
    <xf numFmtId="164" fontId="3" fillId="0" borderId="0" xfId="0" applyNumberFormat="1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vertical="center" wrapText="1"/>
    </xf>
    <xf numFmtId="165" fontId="7" fillId="0" borderId="0" xfId="1" applyNumberFormat="1" applyFont="1" applyAlignment="1" applyProtection="1">
      <alignment horizontal="center" vertical="center" wrapText="1"/>
    </xf>
    <xf numFmtId="165" fontId="2" fillId="12" borderId="0" xfId="0" applyNumberFormat="1" applyFont="1" applyFill="1" applyAlignment="1">
      <alignment horizontal="center" vertical="center" wrapText="1"/>
    </xf>
    <xf numFmtId="165" fontId="2" fillId="13" borderId="0" xfId="0" applyNumberFormat="1" applyFont="1" applyFill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5" fontId="10" fillId="0" borderId="0" xfId="1" applyNumberFormat="1" applyFont="1" applyFill="1" applyAlignment="1" applyProtection="1">
      <alignment vertical="center" wrapText="1"/>
    </xf>
    <xf numFmtId="0" fontId="21" fillId="5" borderId="2" xfId="0" applyFont="1" applyFill="1" applyBorder="1" applyAlignment="1" applyProtection="1">
      <alignment horizontal="right" vertical="center" wrapText="1"/>
      <protection locked="0"/>
    </xf>
    <xf numFmtId="165" fontId="9" fillId="2" borderId="2" xfId="0" applyNumberFormat="1" applyFont="1" applyFill="1" applyBorder="1" applyAlignment="1" applyProtection="1">
      <alignment horizontal="right" vertical="center" wrapText="1"/>
      <protection locked="0"/>
    </xf>
    <xf numFmtId="165" fontId="10" fillId="2" borderId="2" xfId="0" applyNumberFormat="1" applyFont="1" applyFill="1" applyBorder="1" applyAlignment="1" applyProtection="1">
      <alignment horizontal="right" vertical="center" wrapText="1"/>
      <protection locked="0"/>
    </xf>
    <xf numFmtId="165" fontId="10" fillId="7" borderId="2" xfId="0" applyNumberFormat="1" applyFont="1" applyFill="1" applyBorder="1" applyAlignment="1" applyProtection="1">
      <alignment vertical="center" wrapText="1"/>
      <protection locked="0"/>
    </xf>
    <xf numFmtId="165" fontId="10" fillId="2" borderId="2" xfId="0" applyNumberFormat="1" applyFont="1" applyFill="1" applyBorder="1" applyAlignment="1" applyProtection="1">
      <alignment vertical="center" wrapText="1"/>
      <protection locked="0"/>
    </xf>
    <xf numFmtId="165" fontId="10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8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165" fontId="5" fillId="0" borderId="0" xfId="1" applyNumberFormat="1" applyFont="1" applyAlignment="1" applyProtection="1">
      <alignment wrapText="1"/>
      <protection locked="0"/>
    </xf>
    <xf numFmtId="165" fontId="5" fillId="0" borderId="0" xfId="1" applyNumberFormat="1" applyFont="1" applyBorder="1" applyAlignment="1" applyProtection="1">
      <alignment wrapText="1"/>
      <protection locked="0"/>
    </xf>
    <xf numFmtId="165" fontId="5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64" fontId="4" fillId="0" borderId="0" xfId="1" applyNumberFormat="1" applyFont="1" applyFill="1" applyBorder="1" applyAlignment="1" applyProtection="1">
      <alignment wrapText="1"/>
      <protection locked="0"/>
    </xf>
    <xf numFmtId="165" fontId="10" fillId="0" borderId="0" xfId="1" applyNumberFormat="1" applyFont="1" applyFill="1" applyAlignment="1" applyProtection="1">
      <alignment wrapText="1"/>
      <protection locked="0"/>
    </xf>
    <xf numFmtId="165" fontId="10" fillId="0" borderId="0" xfId="0" applyNumberFormat="1" applyFont="1" applyAlignment="1" applyProtection="1">
      <alignment wrapText="1"/>
      <protection locked="0"/>
    </xf>
    <xf numFmtId="165" fontId="4" fillId="0" borderId="0" xfId="0" applyNumberFormat="1" applyFont="1" applyAlignment="1" applyProtection="1">
      <alignment horizontal="right" wrapText="1"/>
      <protection locked="0"/>
    </xf>
    <xf numFmtId="165" fontId="10" fillId="2" borderId="2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165" fontId="10" fillId="0" borderId="0" xfId="0" applyNumberFormat="1" applyFont="1" applyAlignment="1" applyProtection="1">
      <alignment horizontal="right" wrapText="1"/>
      <protection locked="0"/>
    </xf>
    <xf numFmtId="165" fontId="10" fillId="0" borderId="0" xfId="0" applyNumberFormat="1" applyFont="1" applyAlignment="1" applyProtection="1">
      <alignment horizontal="center" wrapText="1"/>
      <protection locked="0"/>
    </xf>
    <xf numFmtId="164" fontId="5" fillId="0" borderId="0" xfId="1" applyNumberFormat="1" applyFont="1" applyAlignment="1" applyProtection="1">
      <alignment wrapText="1"/>
      <protection locked="0"/>
    </xf>
    <xf numFmtId="164" fontId="5" fillId="0" borderId="0" xfId="1" applyNumberFormat="1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wrapText="1"/>
      <protection locked="0"/>
    </xf>
    <xf numFmtId="164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vertical="top" wrapText="1"/>
    </xf>
    <xf numFmtId="0" fontId="15" fillId="0" borderId="0" xfId="3" applyFont="1" applyAlignment="1">
      <alignment vertical="center" wrapText="1"/>
    </xf>
    <xf numFmtId="166" fontId="26" fillId="2" borderId="0" xfId="4" applyNumberFormat="1" applyFont="1" applyFill="1" applyAlignment="1">
      <alignment horizontal="center" vertical="center"/>
    </xf>
    <xf numFmtId="0" fontId="15" fillId="0" borderId="0" xfId="3" applyFont="1" applyAlignment="1">
      <alignment horizontal="center" wrapText="1"/>
    </xf>
    <xf numFmtId="0" fontId="15" fillId="0" borderId="0" xfId="3" applyFont="1" applyAlignment="1">
      <alignment wrapText="1"/>
    </xf>
    <xf numFmtId="168" fontId="15" fillId="5" borderId="0" xfId="5" applyNumberFormat="1" applyFont="1" applyFill="1"/>
    <xf numFmtId="168" fontId="15" fillId="0" borderId="0" xfId="5" applyNumberFormat="1" applyFont="1"/>
    <xf numFmtId="168" fontId="15" fillId="14" borderId="0" xfId="5" applyNumberFormat="1" applyFont="1" applyFill="1"/>
    <xf numFmtId="168" fontId="15" fillId="2" borderId="0" xfId="3" applyNumberFormat="1" applyFont="1" applyFill="1"/>
    <xf numFmtId="168" fontId="15" fillId="15" borderId="0" xfId="3" applyNumberFormat="1" applyFont="1" applyFill="1"/>
    <xf numFmtId="168" fontId="15" fillId="14" borderId="0" xfId="3" applyNumberFormat="1" applyFont="1" applyFill="1"/>
    <xf numFmtId="168" fontId="15" fillId="0" borderId="0" xfId="3" applyNumberFormat="1" applyFont="1"/>
    <xf numFmtId="170" fontId="15" fillId="0" borderId="0" xfId="3" applyNumberFormat="1" applyFont="1"/>
    <xf numFmtId="0" fontId="15" fillId="16" borderId="0" xfId="3" applyFont="1" applyFill="1"/>
    <xf numFmtId="168" fontId="15" fillId="16" borderId="0" xfId="5" applyNumberFormat="1" applyFont="1" applyFill="1"/>
    <xf numFmtId="10" fontId="15" fillId="16" borderId="0" xfId="4" applyNumberFormat="1" applyFont="1" applyFill="1"/>
    <xf numFmtId="168" fontId="15" fillId="17" borderId="0" xfId="5" applyNumberFormat="1" applyFont="1" applyFill="1"/>
    <xf numFmtId="168" fontId="15" fillId="16" borderId="0" xfId="3" applyNumberFormat="1" applyFont="1" applyFill="1"/>
    <xf numFmtId="0" fontId="15" fillId="17" borderId="0" xfId="3" applyFont="1" applyFill="1"/>
    <xf numFmtId="10" fontId="15" fillId="17" borderId="0" xfId="3" applyNumberFormat="1" applyFont="1" applyFill="1"/>
    <xf numFmtId="10" fontId="15" fillId="16" borderId="0" xfId="3" applyNumberFormat="1" applyFont="1" applyFill="1"/>
    <xf numFmtId="165" fontId="27" fillId="2" borderId="2" xfId="0" applyNumberFormat="1" applyFont="1" applyFill="1" applyBorder="1" applyAlignment="1" applyProtection="1">
      <alignment horizontal="right" wrapText="1"/>
      <protection locked="0"/>
    </xf>
    <xf numFmtId="0" fontId="15" fillId="0" borderId="0" xfId="3" applyFont="1" applyAlignment="1">
      <alignment horizontal="center"/>
    </xf>
    <xf numFmtId="0" fontId="28" fillId="0" borderId="0" xfId="3" quotePrefix="1" applyFont="1" applyAlignment="1">
      <alignment horizontal="center" vertical="center"/>
    </xf>
    <xf numFmtId="0" fontId="29" fillId="0" borderId="0" xfId="3" applyFont="1" applyAlignment="1">
      <alignment horizontal="center" wrapText="1"/>
    </xf>
    <xf numFmtId="164" fontId="15" fillId="0" borderId="0" xfId="3" applyNumberFormat="1" applyFont="1" applyAlignment="1">
      <alignment horizontal="center" wrapText="1"/>
    </xf>
    <xf numFmtId="0" fontId="16" fillId="0" borderId="0" xfId="3" applyFont="1" applyAlignment="1">
      <alignment horizontal="center"/>
    </xf>
    <xf numFmtId="168" fontId="30" fillId="5" borderId="0" xfId="5" applyNumberFormat="1" applyFont="1" applyFill="1"/>
    <xf numFmtId="164" fontId="15" fillId="14" borderId="0" xfId="5" applyNumberFormat="1" applyFont="1" applyFill="1"/>
    <xf numFmtId="168" fontId="15" fillId="10" borderId="0" xfId="3" applyNumberFormat="1" applyFont="1" applyFill="1"/>
    <xf numFmtId="168" fontId="29" fillId="0" borderId="0" xfId="5" applyNumberFormat="1" applyFont="1"/>
    <xf numFmtId="164" fontId="15" fillId="0" borderId="0" xfId="5" applyNumberFormat="1" applyFont="1"/>
    <xf numFmtId="0" fontId="15" fillId="16" borderId="0" xfId="3" applyFont="1" applyFill="1" applyAlignment="1">
      <alignment horizontal="center"/>
    </xf>
    <xf numFmtId="168" fontId="29" fillId="16" borderId="0" xfId="5" applyNumberFormat="1" applyFont="1" applyFill="1"/>
    <xf numFmtId="164" fontId="15" fillId="17" borderId="0" xfId="5" applyNumberFormat="1" applyFont="1" applyFill="1"/>
    <xf numFmtId="0" fontId="15" fillId="4" borderId="0" xfId="3" applyFont="1" applyFill="1" applyAlignment="1">
      <alignment horizontal="center"/>
    </xf>
    <xf numFmtId="164" fontId="15" fillId="16" borderId="0" xfId="5" applyNumberFormat="1" applyFont="1" applyFill="1"/>
    <xf numFmtId="0" fontId="29" fillId="0" borderId="0" xfId="3" applyFont="1"/>
    <xf numFmtId="164" fontId="15" fillId="0" borderId="0" xfId="3" applyNumberFormat="1" applyFont="1"/>
    <xf numFmtId="164" fontId="8" fillId="0" borderId="0" xfId="1" quotePrefix="1" applyNumberFormat="1" applyFont="1" applyAlignment="1" applyProtection="1">
      <alignment vertical="center" wrapText="1"/>
    </xf>
    <xf numFmtId="165" fontId="3" fillId="0" borderId="0" xfId="0" applyNumberFormat="1" applyFont="1"/>
    <xf numFmtId="0" fontId="3" fillId="12" borderId="0" xfId="0" applyFont="1" applyFill="1" applyAlignment="1">
      <alignment wrapText="1"/>
    </xf>
    <xf numFmtId="166" fontId="4" fillId="0" borderId="0" xfId="2" applyNumberFormat="1" applyFont="1" applyAlignment="1">
      <alignment horizontal="left" vertical="center" wrapText="1"/>
    </xf>
    <xf numFmtId="165" fontId="3" fillId="0" borderId="0" xfId="1" applyNumberFormat="1" applyFont="1"/>
    <xf numFmtId="10" fontId="3" fillId="0" borderId="0" xfId="2" applyNumberFormat="1" applyFont="1"/>
    <xf numFmtId="172" fontId="3" fillId="0" borderId="0" xfId="6" applyNumberFormat="1" applyFont="1"/>
    <xf numFmtId="165" fontId="3" fillId="0" borderId="0" xfId="1" applyNumberFormat="1" applyFont="1" applyFill="1" applyBorder="1"/>
    <xf numFmtId="165" fontId="10" fillId="0" borderId="0" xfId="0" applyNumberFormat="1" applyFont="1"/>
    <xf numFmtId="165" fontId="10" fillId="0" borderId="0" xfId="1" applyNumberFormat="1" applyFont="1"/>
    <xf numFmtId="165" fontId="4" fillId="0" borderId="0" xfId="0" applyNumberFormat="1" applyFont="1"/>
    <xf numFmtId="10" fontId="4" fillId="0" borderId="0" xfId="2" applyNumberFormat="1" applyFont="1"/>
    <xf numFmtId="165" fontId="4" fillId="0" borderId="0" xfId="1" applyNumberFormat="1" applyFont="1"/>
    <xf numFmtId="165" fontId="2" fillId="0" borderId="0" xfId="0" applyNumberFormat="1" applyFont="1"/>
    <xf numFmtId="165" fontId="2" fillId="0" borderId="0" xfId="1" applyNumberFormat="1" applyFont="1"/>
    <xf numFmtId="165" fontId="4" fillId="0" borderId="0" xfId="1" applyNumberFormat="1" applyFont="1" applyFill="1" applyBorder="1"/>
    <xf numFmtId="165" fontId="10" fillId="0" borderId="2" xfId="1" applyNumberFormat="1" applyFont="1" applyFill="1" applyBorder="1"/>
    <xf numFmtId="165" fontId="10" fillId="2" borderId="2" xfId="1" applyNumberFormat="1" applyFont="1" applyFill="1" applyBorder="1"/>
    <xf numFmtId="10" fontId="10" fillId="0" borderId="0" xfId="2" applyNumberFormat="1" applyFont="1"/>
    <xf numFmtId="165" fontId="10" fillId="5" borderId="2" xfId="1" applyNumberFormat="1" applyFont="1" applyFill="1" applyBorder="1"/>
    <xf numFmtId="166" fontId="10" fillId="0" borderId="0" xfId="2" applyNumberFormat="1" applyFont="1"/>
    <xf numFmtId="165" fontId="10" fillId="18" borderId="0" xfId="1" applyNumberFormat="1" applyFont="1" applyFill="1"/>
    <xf numFmtId="165" fontId="4" fillId="0" borderId="0" xfId="1" applyNumberFormat="1" applyFont="1" applyBorder="1"/>
    <xf numFmtId="165" fontId="10" fillId="0" borderId="0" xfId="1" applyNumberFormat="1" applyFont="1" applyBorder="1"/>
    <xf numFmtId="165" fontId="31" fillId="0" borderId="0" xfId="0" applyNumberFormat="1" applyFont="1"/>
    <xf numFmtId="165" fontId="31" fillId="19" borderId="0" xfId="0" applyNumberFormat="1" applyFont="1" applyFill="1"/>
    <xf numFmtId="0" fontId="10" fillId="20" borderId="2" xfId="0" applyFont="1" applyFill="1" applyBorder="1"/>
    <xf numFmtId="165" fontId="3" fillId="19" borderId="0" xfId="0" applyNumberFormat="1" applyFont="1" applyFill="1"/>
    <xf numFmtId="166" fontId="4" fillId="18" borderId="2" xfId="2" applyNumberFormat="1" applyFont="1" applyFill="1" applyBorder="1" applyAlignment="1">
      <alignment horizontal="right" vertical="center" wrapText="1"/>
    </xf>
    <xf numFmtId="165" fontId="10" fillId="19" borderId="0" xfId="0" applyNumberFormat="1" applyFont="1" applyFill="1"/>
    <xf numFmtId="165" fontId="32" fillId="0" borderId="0" xfId="0" applyNumberFormat="1" applyFont="1" applyAlignment="1">
      <alignment horizontal="center"/>
    </xf>
    <xf numFmtId="165" fontId="33" fillId="0" borderId="0" xfId="0" applyNumberFormat="1" applyFont="1" applyAlignment="1">
      <alignment horizontal="right"/>
    </xf>
    <xf numFmtId="165" fontId="2" fillId="5" borderId="2" xfId="1" applyNumberFormat="1" applyFont="1" applyFill="1" applyBorder="1"/>
    <xf numFmtId="165" fontId="34" fillId="0" borderId="0" xfId="0" applyNumberFormat="1" applyFont="1" applyAlignment="1">
      <alignment horizontal="right"/>
    </xf>
    <xf numFmtId="165" fontId="2" fillId="19" borderId="0" xfId="0" applyNumberFormat="1" applyFont="1" applyFill="1"/>
    <xf numFmtId="165" fontId="10" fillId="0" borderId="9" xfId="1" applyNumberFormat="1" applyFont="1" applyFill="1" applyBorder="1"/>
    <xf numFmtId="165" fontId="4" fillId="19" borderId="0" xfId="0" applyNumberFormat="1" applyFont="1" applyFill="1"/>
    <xf numFmtId="10" fontId="4" fillId="2" borderId="0" xfId="2" applyNumberFormat="1" applyFont="1" applyFill="1"/>
    <xf numFmtId="165" fontId="4" fillId="2" borderId="0" xfId="0" applyNumberFormat="1" applyFont="1" applyFill="1"/>
    <xf numFmtId="165" fontId="4" fillId="2" borderId="0" xfId="1" applyNumberFormat="1" applyFont="1" applyFill="1" applyBorder="1"/>
    <xf numFmtId="165" fontId="4" fillId="2" borderId="1" xfId="1" applyNumberFormat="1" applyFont="1" applyFill="1" applyBorder="1"/>
    <xf numFmtId="164" fontId="4" fillId="2" borderId="1" xfId="1" applyNumberFormat="1" applyFont="1" applyFill="1" applyBorder="1"/>
    <xf numFmtId="172" fontId="3" fillId="19" borderId="0" xfId="6" applyNumberFormat="1" applyFont="1" applyFill="1"/>
    <xf numFmtId="172" fontId="3" fillId="0" borderId="0" xfId="6" applyNumberFormat="1" applyFont="1" applyFill="1"/>
    <xf numFmtId="165" fontId="3" fillId="0" borderId="0" xfId="0" applyNumberFormat="1" applyFont="1" applyAlignment="1">
      <alignment horizontal="right" vertical="center"/>
    </xf>
    <xf numFmtId="9" fontId="35" fillId="0" borderId="0" xfId="2" quotePrefix="1" applyFont="1" applyAlignment="1" applyProtection="1">
      <alignment vertical="center" wrapText="1"/>
    </xf>
    <xf numFmtId="9" fontId="21" fillId="9" borderId="2" xfId="2" applyFont="1" applyFill="1" applyBorder="1" applyAlignment="1" applyProtection="1">
      <alignment horizontal="right" vertical="center" wrapText="1"/>
      <protection locked="0"/>
    </xf>
    <xf numFmtId="0" fontId="3" fillId="21" borderId="0" xfId="0" applyFont="1" applyFill="1" applyAlignment="1">
      <alignment wrapText="1"/>
    </xf>
    <xf numFmtId="0" fontId="3" fillId="21" borderId="1" xfId="0" applyFont="1" applyFill="1" applyBorder="1" applyAlignment="1">
      <alignment wrapText="1"/>
    </xf>
    <xf numFmtId="0" fontId="3" fillId="21" borderId="3" xfId="0" applyFont="1" applyFill="1" applyBorder="1" applyAlignment="1">
      <alignment wrapText="1"/>
    </xf>
    <xf numFmtId="0" fontId="3" fillId="21" borderId="0" xfId="0" applyFont="1" applyFill="1" applyAlignment="1" applyProtection="1">
      <alignment wrapText="1"/>
      <protection locked="0"/>
    </xf>
    <xf numFmtId="165" fontId="3" fillId="21" borderId="0" xfId="0" applyNumberFormat="1" applyFont="1" applyFill="1" applyAlignment="1">
      <alignment wrapText="1"/>
    </xf>
    <xf numFmtId="165" fontId="12" fillId="0" borderId="3" xfId="0" applyNumberFormat="1" applyFont="1" applyBorder="1" applyAlignment="1">
      <alignment wrapText="1"/>
    </xf>
    <xf numFmtId="165" fontId="6" fillId="0" borderId="4" xfId="0" applyNumberFormat="1" applyFont="1" applyBorder="1" applyAlignment="1">
      <alignment wrapText="1"/>
    </xf>
    <xf numFmtId="165" fontId="9" fillId="22" borderId="2" xfId="0" applyNumberFormat="1" applyFont="1" applyFill="1" applyBorder="1" applyAlignment="1" applyProtection="1">
      <alignment horizontal="right" wrapText="1"/>
      <protection locked="0"/>
    </xf>
    <xf numFmtId="0" fontId="2" fillId="12" borderId="0" xfId="0" applyFont="1" applyFill="1" applyAlignment="1">
      <alignment wrapText="1"/>
    </xf>
    <xf numFmtId="164" fontId="8" fillId="0" borderId="0" xfId="1" applyNumberFormat="1" applyFont="1" applyAlignment="1" applyProtection="1">
      <alignment horizontal="center" wrapText="1"/>
    </xf>
    <xf numFmtId="164" fontId="8" fillId="0" borderId="0" xfId="1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 wrapText="1"/>
    </xf>
    <xf numFmtId="0" fontId="21" fillId="10" borderId="2" xfId="0" applyFont="1" applyFill="1" applyBorder="1" applyAlignment="1" applyProtection="1">
      <alignment horizontal="center" wrapText="1"/>
      <protection locked="0"/>
    </xf>
    <xf numFmtId="0" fontId="21" fillId="11" borderId="2" xfId="0" applyFont="1" applyFill="1" applyBorder="1" applyAlignment="1" applyProtection="1">
      <alignment horizontal="center" wrapText="1"/>
      <protection locked="0"/>
    </xf>
    <xf numFmtId="0" fontId="3" fillId="21" borderId="0" xfId="0" applyFont="1" applyFill="1" applyAlignment="1">
      <alignment horizontal="center" wrapText="1"/>
    </xf>
    <xf numFmtId="0" fontId="21" fillId="22" borderId="2" xfId="0" applyFont="1" applyFill="1" applyBorder="1" applyAlignment="1" applyProtection="1">
      <alignment horizontal="center" wrapText="1"/>
      <protection locked="0"/>
    </xf>
    <xf numFmtId="0" fontId="2" fillId="12" borderId="0" xfId="0" applyFont="1" applyFill="1" applyAlignment="1">
      <alignment horizontal="center" wrapText="1"/>
    </xf>
    <xf numFmtId="9" fontId="8" fillId="0" borderId="0" xfId="2" applyFont="1" applyFill="1" applyBorder="1" applyAlignment="1" applyProtection="1">
      <alignment horizontal="center" wrapText="1"/>
    </xf>
    <xf numFmtId="164" fontId="8" fillId="0" borderId="0" xfId="1" applyNumberFormat="1" applyFont="1" applyFill="1" applyBorder="1" applyAlignment="1" applyProtection="1">
      <alignment horizontal="center" wrapText="1"/>
    </xf>
    <xf numFmtId="9" fontId="36" fillId="0" borderId="0" xfId="2" applyFont="1" applyFill="1" applyBorder="1" applyAlignment="1" applyProtection="1">
      <alignment horizontal="center" wrapText="1"/>
    </xf>
    <xf numFmtId="164" fontId="12" fillId="0" borderId="3" xfId="0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5" fontId="3" fillId="12" borderId="0" xfId="0" applyNumberFormat="1" applyFont="1" applyFill="1" applyAlignment="1">
      <alignment wrapText="1"/>
    </xf>
    <xf numFmtId="165" fontId="10" fillId="0" borderId="0" xfId="1" applyNumberFormat="1" applyFont="1" applyBorder="1" applyAlignment="1">
      <alignment wrapText="1"/>
    </xf>
    <xf numFmtId="165" fontId="3" fillId="0" borderId="0" xfId="1" applyNumberFormat="1" applyFont="1" applyBorder="1" applyAlignment="1">
      <alignment wrapText="1"/>
    </xf>
    <xf numFmtId="165" fontId="3" fillId="12" borderId="0" xfId="0" applyNumberFormat="1" applyFont="1" applyFill="1" applyAlignment="1" applyProtection="1">
      <alignment wrapText="1"/>
      <protection locked="0"/>
    </xf>
    <xf numFmtId="165" fontId="3" fillId="0" borderId="0" xfId="1" applyNumberFormat="1" applyFont="1" applyAlignment="1">
      <alignment wrapText="1"/>
    </xf>
    <xf numFmtId="165" fontId="5" fillId="0" borderId="0" xfId="1" applyNumberFormat="1" applyFont="1" applyFill="1" applyBorder="1" applyAlignment="1" applyProtection="1">
      <alignment wrapText="1"/>
      <protection locked="0"/>
    </xf>
    <xf numFmtId="165" fontId="10" fillId="0" borderId="0" xfId="1" applyNumberFormat="1" applyFont="1" applyBorder="1" applyAlignment="1" applyProtection="1">
      <alignment vertical="center" wrapText="1"/>
    </xf>
    <xf numFmtId="165" fontId="10" fillId="0" borderId="15" xfId="0" applyNumberFormat="1" applyFont="1" applyBorder="1" applyAlignment="1" applyProtection="1">
      <alignment horizontal="right" wrapText="1"/>
      <protection locked="0"/>
    </xf>
    <xf numFmtId="9" fontId="21" fillId="6" borderId="2" xfId="2" applyFont="1" applyFill="1" applyBorder="1" applyAlignment="1" applyProtection="1">
      <alignment horizontal="right" vertical="center" wrapText="1"/>
      <protection locked="0"/>
    </xf>
    <xf numFmtId="164" fontId="8" fillId="0" borderId="0" xfId="1" applyNumberFormat="1" applyFont="1" applyBorder="1" applyAlignment="1">
      <alignment wrapText="1"/>
    </xf>
    <xf numFmtId="165" fontId="2" fillId="0" borderId="0" xfId="0" applyNumberFormat="1" applyFont="1" applyAlignment="1">
      <alignment wrapText="1"/>
    </xf>
    <xf numFmtId="165" fontId="8" fillId="0" borderId="0" xfId="1" applyNumberFormat="1" applyFont="1" applyAlignment="1">
      <alignment wrapText="1"/>
    </xf>
    <xf numFmtId="165" fontId="8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left" wrapText="1"/>
    </xf>
    <xf numFmtId="9" fontId="21" fillId="0" borderId="0" xfId="2" applyFont="1" applyFill="1" applyBorder="1" applyAlignment="1" applyProtection="1">
      <alignment horizontal="right" wrapText="1"/>
      <protection locked="0"/>
    </xf>
    <xf numFmtId="9" fontId="21" fillId="23" borderId="2" xfId="2" applyFont="1" applyFill="1" applyBorder="1" applyAlignment="1" applyProtection="1">
      <alignment horizontal="right" wrapText="1"/>
      <protection locked="0"/>
    </xf>
    <xf numFmtId="9" fontId="21" fillId="0" borderId="0" xfId="2" applyFont="1" applyFill="1" applyBorder="1" applyAlignment="1" applyProtection="1">
      <alignment horizontal="center" wrapText="1"/>
      <protection locked="0"/>
    </xf>
    <xf numFmtId="9" fontId="2" fillId="0" borderId="0" xfId="2" applyFont="1" applyFill="1" applyBorder="1" applyAlignment="1">
      <alignment horizontal="center" wrapText="1"/>
    </xf>
    <xf numFmtId="165" fontId="2" fillId="12" borderId="0" xfId="0" applyNumberFormat="1" applyFont="1" applyFill="1" applyAlignment="1">
      <alignment horizontal="center" wrapText="1"/>
    </xf>
    <xf numFmtId="0" fontId="3" fillId="12" borderId="0" xfId="0" applyFont="1" applyFill="1" applyAlignment="1" applyProtection="1">
      <alignment wrapText="1"/>
      <protection locked="0"/>
    </xf>
    <xf numFmtId="165" fontId="3" fillId="21" borderId="1" xfId="0" applyNumberFormat="1" applyFont="1" applyFill="1" applyBorder="1" applyAlignment="1">
      <alignment wrapText="1"/>
    </xf>
    <xf numFmtId="165" fontId="3" fillId="21" borderId="3" xfId="0" applyNumberFormat="1" applyFont="1" applyFill="1" applyBorder="1" applyAlignment="1">
      <alignment wrapText="1"/>
    </xf>
    <xf numFmtId="165" fontId="3" fillId="21" borderId="0" xfId="0" applyNumberFormat="1" applyFont="1" applyFill="1" applyAlignment="1" applyProtection="1">
      <alignment wrapText="1"/>
      <protection locked="0"/>
    </xf>
    <xf numFmtId="9" fontId="21" fillId="6" borderId="2" xfId="2" applyFont="1" applyFill="1" applyBorder="1" applyAlignment="1" applyProtection="1">
      <alignment horizontal="center" wrapText="1"/>
      <protection locked="0"/>
    </xf>
    <xf numFmtId="165" fontId="10" fillId="14" borderId="2" xfId="0" applyNumberFormat="1" applyFont="1" applyFill="1" applyBorder="1" applyAlignment="1" applyProtection="1">
      <alignment horizontal="right" wrapText="1"/>
      <protection locked="0"/>
    </xf>
    <xf numFmtId="0" fontId="21" fillId="14" borderId="2" xfId="0" applyFont="1" applyFill="1" applyBorder="1" applyAlignment="1" applyProtection="1">
      <alignment horizontal="center" wrapText="1"/>
      <protection locked="0"/>
    </xf>
    <xf numFmtId="9" fontId="21" fillId="24" borderId="2" xfId="2" applyFont="1" applyFill="1" applyBorder="1" applyAlignment="1" applyProtection="1">
      <alignment horizontal="right" vertical="center" wrapText="1"/>
      <protection locked="0"/>
    </xf>
    <xf numFmtId="9" fontId="21" fillId="9" borderId="2" xfId="2" applyFont="1" applyFill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165" fontId="10" fillId="25" borderId="0" xfId="0" applyNumberFormat="1" applyFont="1" applyFill="1" applyAlignment="1" applyProtection="1">
      <alignment horizontal="center" wrapText="1"/>
      <protection locked="0"/>
    </xf>
    <xf numFmtId="0" fontId="3" fillId="6" borderId="0" xfId="0" applyFont="1" applyFill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5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22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3" fillId="24" borderId="0" xfId="0" applyFont="1" applyFill="1" applyAlignment="1">
      <alignment vertical="top" wrapText="1"/>
    </xf>
    <xf numFmtId="0" fontId="3" fillId="9" borderId="0" xfId="0" applyFont="1" applyFill="1" applyAlignment="1">
      <alignment vertical="top" wrapText="1"/>
    </xf>
    <xf numFmtId="165" fontId="3" fillId="26" borderId="0" xfId="0" applyNumberFormat="1" applyFont="1" applyFill="1" applyAlignment="1">
      <alignment vertical="top" wrapText="1"/>
    </xf>
    <xf numFmtId="165" fontId="9" fillId="0" borderId="2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165" fontId="10" fillId="0" borderId="2" xfId="0" applyNumberFormat="1" applyFont="1" applyBorder="1" applyAlignment="1">
      <alignment horizontal="right" vertical="center" wrapText="1"/>
    </xf>
    <xf numFmtId="165" fontId="10" fillId="0" borderId="13" xfId="1" applyNumberFormat="1" applyFont="1" applyBorder="1"/>
    <xf numFmtId="165" fontId="10" fillId="24" borderId="2" xfId="1" applyNumberFormat="1" applyFont="1" applyFill="1" applyBorder="1"/>
    <xf numFmtId="165" fontId="3" fillId="0" borderId="1" xfId="1" applyNumberFormat="1" applyFont="1" applyBorder="1"/>
    <xf numFmtId="165" fontId="12" fillId="12" borderId="0" xfId="1" applyNumberFormat="1" applyFont="1" applyFill="1"/>
    <xf numFmtId="165" fontId="12" fillId="12" borderId="0" xfId="0" applyNumberFormat="1" applyFont="1" applyFill="1"/>
    <xf numFmtId="10" fontId="12" fillId="12" borderId="0" xfId="2" applyNumberFormat="1" applyFont="1" applyFill="1"/>
    <xf numFmtId="165" fontId="9" fillId="0" borderId="0" xfId="0" applyNumberFormat="1" applyFont="1"/>
    <xf numFmtId="165" fontId="9" fillId="19" borderId="0" xfId="0" applyNumberFormat="1" applyFont="1" applyFill="1"/>
    <xf numFmtId="165" fontId="20" fillId="0" borderId="0" xfId="0" applyNumberFormat="1" applyFont="1"/>
    <xf numFmtId="10" fontId="20" fillId="0" borderId="0" xfId="2" applyNumberFormat="1" applyFont="1"/>
    <xf numFmtId="164" fontId="20" fillId="20" borderId="0" xfId="2" applyNumberFormat="1" applyFont="1" applyFill="1"/>
    <xf numFmtId="165" fontId="20" fillId="0" borderId="0" xfId="1" applyNumberFormat="1" applyFont="1"/>
    <xf numFmtId="165" fontId="20" fillId="19" borderId="0" xfId="0" applyNumberFormat="1" applyFont="1" applyFill="1"/>
    <xf numFmtId="166" fontId="20" fillId="0" borderId="0" xfId="2" applyNumberFormat="1" applyFont="1"/>
    <xf numFmtId="10" fontId="10" fillId="20" borderId="0" xfId="2" applyNumberFormat="1" applyFont="1" applyFill="1"/>
    <xf numFmtId="165" fontId="12" fillId="0" borderId="0" xfId="0" applyNumberFormat="1" applyFont="1"/>
    <xf numFmtId="165" fontId="12" fillId="12" borderId="0" xfId="1" applyNumberFormat="1" applyFont="1" applyFill="1" applyBorder="1"/>
    <xf numFmtId="10" fontId="12" fillId="0" borderId="0" xfId="2" applyNumberFormat="1" applyFont="1"/>
    <xf numFmtId="165" fontId="12" fillId="0" borderId="0" xfId="1" applyNumberFormat="1" applyFont="1"/>
    <xf numFmtId="165" fontId="12" fillId="0" borderId="0" xfId="1" applyNumberFormat="1" applyFont="1" applyFill="1" applyBorder="1"/>
    <xf numFmtId="165" fontId="2" fillId="5" borderId="0" xfId="0" applyNumberFormat="1" applyFont="1" applyFill="1"/>
    <xf numFmtId="164" fontId="37" fillId="12" borderId="0" xfId="1" applyNumberFormat="1" applyFont="1" applyFill="1"/>
    <xf numFmtId="165" fontId="9" fillId="24" borderId="2" xfId="0" applyNumberFormat="1" applyFont="1" applyFill="1" applyBorder="1" applyAlignment="1" applyProtection="1">
      <alignment horizontal="right" vertical="center" wrapText="1"/>
      <protection locked="0"/>
    </xf>
    <xf numFmtId="165" fontId="10" fillId="14" borderId="2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" xfId="0" applyNumberFormat="1" applyFont="1" applyFill="1" applyBorder="1" applyAlignment="1" applyProtection="1">
      <alignment vertical="center" wrapText="1"/>
      <protection locked="0"/>
    </xf>
    <xf numFmtId="165" fontId="4" fillId="29" borderId="0" xfId="1" applyNumberFormat="1" applyFont="1" applyFill="1"/>
    <xf numFmtId="165" fontId="4" fillId="14" borderId="2" xfId="0" applyNumberFormat="1" applyFont="1" applyFill="1" applyBorder="1" applyAlignment="1" applyProtection="1">
      <alignment vertical="center" wrapText="1"/>
      <protection locked="0"/>
    </xf>
    <xf numFmtId="0" fontId="24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center" wrapText="1"/>
    </xf>
    <xf numFmtId="165" fontId="10" fillId="27" borderId="10" xfId="0" applyNumberFormat="1" applyFont="1" applyFill="1" applyBorder="1" applyAlignment="1" applyProtection="1">
      <alignment horizontal="left" vertical="center" wrapText="1"/>
      <protection locked="0"/>
    </xf>
    <xf numFmtId="165" fontId="10" fillId="27" borderId="5" xfId="0" applyNumberFormat="1" applyFont="1" applyFill="1" applyBorder="1" applyAlignment="1" applyProtection="1">
      <alignment horizontal="left" vertical="center" wrapText="1"/>
      <protection locked="0"/>
    </xf>
    <xf numFmtId="165" fontId="10" fillId="27" borderId="11" xfId="0" applyNumberFormat="1" applyFont="1" applyFill="1" applyBorder="1" applyAlignment="1" applyProtection="1">
      <alignment horizontal="left" vertical="center" wrapText="1"/>
      <protection locked="0"/>
    </xf>
    <xf numFmtId="165" fontId="10" fillId="27" borderId="12" xfId="0" applyNumberFormat="1" applyFont="1" applyFill="1" applyBorder="1" applyAlignment="1" applyProtection="1">
      <alignment horizontal="left" vertical="center" wrapText="1"/>
      <protection locked="0"/>
    </xf>
    <xf numFmtId="165" fontId="10" fillId="27" borderId="0" xfId="0" applyNumberFormat="1" applyFont="1" applyFill="1" applyAlignment="1" applyProtection="1">
      <alignment horizontal="left" vertical="center" wrapText="1"/>
      <protection locked="0"/>
    </xf>
    <xf numFmtId="165" fontId="10" fillId="27" borderId="13" xfId="0" applyNumberFormat="1" applyFont="1" applyFill="1" applyBorder="1" applyAlignment="1" applyProtection="1">
      <alignment horizontal="left" vertical="center" wrapText="1"/>
      <protection locked="0"/>
    </xf>
    <xf numFmtId="165" fontId="10" fillId="27" borderId="14" xfId="0" applyNumberFormat="1" applyFont="1" applyFill="1" applyBorder="1" applyAlignment="1" applyProtection="1">
      <alignment horizontal="left" vertical="center" wrapText="1"/>
      <protection locked="0"/>
    </xf>
    <xf numFmtId="165" fontId="10" fillId="27" borderId="1" xfId="0" applyNumberFormat="1" applyFont="1" applyFill="1" applyBorder="1" applyAlignment="1" applyProtection="1">
      <alignment horizontal="left" vertical="center" wrapText="1"/>
      <protection locked="0"/>
    </xf>
    <xf numFmtId="165" fontId="10" fillId="27" borderId="8" xfId="0" applyNumberFormat="1" applyFont="1" applyFill="1" applyBorder="1" applyAlignment="1" applyProtection="1">
      <alignment horizontal="left" vertical="center" wrapText="1"/>
      <protection locked="0"/>
    </xf>
    <xf numFmtId="165" fontId="31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 vertical="center" wrapText="1"/>
    </xf>
    <xf numFmtId="10" fontId="4" fillId="29" borderId="0" xfId="2" applyNumberFormat="1" applyFont="1" applyFill="1" applyAlignment="1">
      <alignment horizontal="left"/>
    </xf>
    <xf numFmtId="10" fontId="4" fillId="0" borderId="0" xfId="2" applyNumberFormat="1" applyFont="1" applyAlignment="1">
      <alignment horizontal="left"/>
    </xf>
    <xf numFmtId="0" fontId="15" fillId="0" borderId="0" xfId="3" applyFont="1" applyAlignment="1">
      <alignment horizontal="left" vertical="center" wrapText="1"/>
    </xf>
    <xf numFmtId="0" fontId="15" fillId="0" borderId="0" xfId="3" applyFont="1" applyAlignment="1">
      <alignment horizontal="center" vertical="center" wrapText="1"/>
    </xf>
    <xf numFmtId="0" fontId="19" fillId="0" borderId="0" xfId="3" applyFont="1" applyAlignment="1">
      <alignment horizontal="left"/>
    </xf>
    <xf numFmtId="0" fontId="16" fillId="0" borderId="0" xfId="3" applyFont="1" applyAlignment="1">
      <alignment horizontal="center" vertical="center" wrapText="1"/>
    </xf>
    <xf numFmtId="0" fontId="15" fillId="0" borderId="0" xfId="3" applyFont="1" applyAlignment="1">
      <alignment horizontal="right" vertical="center" wrapText="1"/>
    </xf>
    <xf numFmtId="0" fontId="15" fillId="0" borderId="0" xfId="3" quotePrefix="1" applyFont="1" applyAlignment="1">
      <alignment horizontal="right" vertical="center"/>
    </xf>
  </cellXfs>
  <cellStyles count="7">
    <cellStyle name="Comma" xfId="6" builtinId="3"/>
    <cellStyle name="Currency" xfId="1" builtinId="4"/>
    <cellStyle name="Currency 2" xfId="5" xr:uid="{734B02FD-D90D-42C7-9612-28FC74972AF0}"/>
    <cellStyle name="Excel Built-in Normal" xfId="3" xr:uid="{8974AB0D-C2C9-46D2-9854-17783FAD5E54}"/>
    <cellStyle name="Normal" xfId="0" builtinId="0"/>
    <cellStyle name="Percent" xfId="2" builtinId="5"/>
    <cellStyle name="Percent 2" xfId="4" xr:uid="{CBEDAD3C-FCFF-4CC7-AFE2-AF9D458D85D7}"/>
  </cellStyles>
  <dxfs count="0"/>
  <tableStyles count="0" defaultTableStyle="TableStyleMedium2" defaultPivotStyle="PivotStyleLight16"/>
  <colors>
    <mruColors>
      <color rgb="FFFBFAD8"/>
      <color rgb="FFDEA4D8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7551-8D4D-4366-ACA7-8A9412782196}">
  <dimension ref="A1:D10"/>
  <sheetViews>
    <sheetView workbookViewId="0">
      <selection activeCell="A8" sqref="A8:A10"/>
    </sheetView>
  </sheetViews>
  <sheetFormatPr defaultColWidth="8.7265625" defaultRowHeight="15.5" x14ac:dyDescent="0.35"/>
  <cols>
    <col min="1" max="1" width="8.7265625" style="363"/>
    <col min="2" max="2" width="68.54296875" style="21" customWidth="1"/>
    <col min="3" max="3" width="3.54296875" style="20" customWidth="1"/>
    <col min="4" max="4" width="12.1796875" style="367" customWidth="1"/>
    <col min="5" max="16384" width="8.7265625" style="20"/>
  </cols>
  <sheetData>
    <row r="1" spans="1:4" s="18" customFormat="1" x14ac:dyDescent="0.35">
      <c r="A1" s="361"/>
      <c r="B1" s="366" t="s">
        <v>0</v>
      </c>
      <c r="C1" s="19"/>
      <c r="D1" s="367"/>
    </row>
    <row r="3" spans="1:4" ht="46.5" x14ac:dyDescent="0.35">
      <c r="A3" s="362">
        <v>1</v>
      </c>
      <c r="B3" s="222" t="s">
        <v>1</v>
      </c>
      <c r="D3" s="364" t="s">
        <v>2</v>
      </c>
    </row>
    <row r="4" spans="1:4" ht="62" x14ac:dyDescent="0.35">
      <c r="A4" s="362">
        <f>A3+1</f>
        <v>2</v>
      </c>
      <c r="B4" s="222" t="s">
        <v>127</v>
      </c>
      <c r="C4" s="21"/>
      <c r="D4" s="360" t="s">
        <v>3</v>
      </c>
    </row>
    <row r="5" spans="1:4" ht="31" x14ac:dyDescent="0.35">
      <c r="A5" s="362">
        <f t="shared" ref="A5:A10" si="0">A4+1</f>
        <v>3</v>
      </c>
      <c r="B5" s="21" t="s">
        <v>145</v>
      </c>
      <c r="C5" s="21"/>
      <c r="D5" s="368" t="s">
        <v>148</v>
      </c>
    </row>
    <row r="6" spans="1:4" ht="31" x14ac:dyDescent="0.35">
      <c r="A6" s="362">
        <f t="shared" si="0"/>
        <v>4</v>
      </c>
      <c r="B6" s="21" t="s">
        <v>146</v>
      </c>
      <c r="C6" s="21"/>
      <c r="D6" s="369" t="s">
        <v>149</v>
      </c>
    </row>
    <row r="7" spans="1:4" x14ac:dyDescent="0.35">
      <c r="A7" s="362">
        <f t="shared" si="0"/>
        <v>5</v>
      </c>
      <c r="B7" s="21" t="s">
        <v>147</v>
      </c>
      <c r="C7" s="21"/>
      <c r="D7" s="222"/>
    </row>
    <row r="8" spans="1:4" ht="46.5" x14ac:dyDescent="0.35">
      <c r="A8" s="362">
        <f t="shared" si="0"/>
        <v>6</v>
      </c>
      <c r="B8" s="222" t="s">
        <v>4</v>
      </c>
      <c r="C8" s="21"/>
      <c r="D8" s="370" t="s">
        <v>5</v>
      </c>
    </row>
    <row r="9" spans="1:4" ht="31" x14ac:dyDescent="0.35">
      <c r="A9" s="362">
        <f t="shared" si="0"/>
        <v>7</v>
      </c>
      <c r="B9" s="222" t="s">
        <v>6</v>
      </c>
      <c r="C9" s="21"/>
      <c r="D9" s="365" t="s">
        <v>7</v>
      </c>
    </row>
    <row r="10" spans="1:4" ht="31" x14ac:dyDescent="0.35">
      <c r="A10" s="362">
        <f t="shared" si="0"/>
        <v>8</v>
      </c>
      <c r="B10" s="21" t="s">
        <v>8</v>
      </c>
      <c r="D10" s="222" t="s">
        <v>9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C0DA-AF63-4180-B0A1-6B05179E4AD1}">
  <sheetPr>
    <pageSetUpPr fitToPage="1"/>
  </sheetPr>
  <dimension ref="A2:AC53"/>
  <sheetViews>
    <sheetView view="pageBreakPreview" topLeftCell="A5" zoomScale="60" zoomScaleNormal="60" zoomScalePageLayoutView="65" workbookViewId="0">
      <selection activeCell="L4" sqref="L4"/>
    </sheetView>
  </sheetViews>
  <sheetFormatPr defaultColWidth="9.1796875" defaultRowHeight="15.5" x14ac:dyDescent="0.35"/>
  <cols>
    <col min="1" max="1" width="6.26953125" style="32" customWidth="1"/>
    <col min="2" max="2" width="49.453125" style="32" customWidth="1"/>
    <col min="3" max="3" width="1.54296875" style="141" customWidth="1"/>
    <col min="4" max="4" width="1.81640625" style="121" customWidth="1"/>
    <col min="5" max="5" width="1.81640625" style="122" customWidth="1"/>
    <col min="6" max="6" width="21.54296875" style="32" customWidth="1"/>
    <col min="7" max="7" width="1.54296875" style="32" customWidth="1"/>
    <col min="8" max="8" width="12.453125" style="141" customWidth="1"/>
    <col min="9" max="9" width="1.54296875" style="141" customWidth="1"/>
    <col min="10" max="10" width="1.81640625" style="121" customWidth="1"/>
    <col min="11" max="11" width="1.81640625" style="122" customWidth="1"/>
    <col min="12" max="12" width="21.54296875" style="32" customWidth="1"/>
    <col min="13" max="13" width="1.81640625" style="32" customWidth="1"/>
    <col min="14" max="14" width="10.453125" style="123" hidden="1" customWidth="1"/>
    <col min="15" max="15" width="12.54296875" style="142" customWidth="1"/>
    <col min="16" max="16" width="5.54296875" style="32" customWidth="1"/>
    <col min="17" max="17" width="21.54296875" style="32" customWidth="1"/>
    <col min="18" max="18" width="1.81640625" style="32" customWidth="1"/>
    <col min="19" max="19" width="12.54296875" style="142" customWidth="1"/>
    <col min="20" max="20" width="1.54296875" style="141" customWidth="1"/>
    <col min="21" max="21" width="1.81640625" style="121" customWidth="1"/>
    <col min="22" max="22" width="1.81640625" style="122" customWidth="1"/>
    <col min="23" max="23" width="21.54296875" style="32" customWidth="1"/>
    <col min="24" max="24" width="1.81640625" style="32" customWidth="1"/>
    <col min="25" max="25" width="12.54296875" style="124" customWidth="1"/>
    <col min="26" max="26" width="5.54296875" style="32" customWidth="1"/>
    <col min="27" max="27" width="21.54296875" style="32" customWidth="1"/>
    <col min="28" max="28" width="1.81640625" style="32" customWidth="1"/>
    <col min="29" max="29" width="12.54296875" style="124" customWidth="1"/>
    <col min="30" max="16384" width="9.1796875" style="32"/>
  </cols>
  <sheetData>
    <row r="2" spans="1:29" ht="23" x14ac:dyDescent="0.5">
      <c r="B2" s="358" t="s">
        <v>142</v>
      </c>
    </row>
    <row r="3" spans="1:29" x14ac:dyDescent="0.35">
      <c r="C3" s="120"/>
      <c r="H3" s="120"/>
      <c r="I3" s="120"/>
      <c r="O3" s="124"/>
      <c r="S3" s="124"/>
      <c r="T3" s="120"/>
    </row>
    <row r="4" spans="1:29" ht="20.25" customHeight="1" x14ac:dyDescent="0.35">
      <c r="A4" s="125"/>
      <c r="B4" s="126" t="s">
        <v>10</v>
      </c>
      <c r="C4" s="127"/>
      <c r="D4" s="128"/>
      <c r="E4" s="129"/>
      <c r="G4" s="125"/>
      <c r="H4" s="127"/>
      <c r="I4" s="127"/>
      <c r="J4" s="128"/>
      <c r="K4" s="129"/>
      <c r="L4" s="195">
        <v>2015</v>
      </c>
      <c r="M4" s="125"/>
      <c r="N4" s="125"/>
      <c r="O4" s="130"/>
      <c r="Q4" s="125"/>
      <c r="R4" s="131"/>
      <c r="S4" s="132"/>
      <c r="T4" s="127"/>
      <c r="U4" s="128"/>
      <c r="V4" s="129"/>
      <c r="W4" s="195"/>
      <c r="X4" s="131"/>
      <c r="Y4" s="132"/>
      <c r="AA4" s="195"/>
      <c r="AB4" s="131"/>
      <c r="AC4" s="132"/>
    </row>
    <row r="5" spans="1:29" ht="22.5" x14ac:dyDescent="0.35">
      <c r="A5" s="125"/>
      <c r="B5" s="126" t="s">
        <v>144</v>
      </c>
      <c r="C5" s="127"/>
      <c r="D5" s="128"/>
      <c r="E5" s="129"/>
      <c r="G5" s="125"/>
      <c r="H5" s="261"/>
      <c r="I5" s="127"/>
      <c r="J5" s="128"/>
      <c r="K5" s="129"/>
      <c r="L5" s="338">
        <v>0.5</v>
      </c>
      <c r="M5" s="125"/>
      <c r="N5" s="125"/>
      <c r="O5" s="130"/>
      <c r="Q5" s="125"/>
      <c r="R5" s="131"/>
      <c r="S5" s="132"/>
      <c r="T5" s="127"/>
      <c r="U5" s="128"/>
      <c r="V5" s="129"/>
      <c r="W5" s="338"/>
      <c r="X5" s="131"/>
      <c r="Y5" s="132"/>
      <c r="AA5" s="338"/>
      <c r="AB5" s="131"/>
      <c r="AC5" s="132"/>
    </row>
    <row r="6" spans="1:29" ht="20.25" customHeight="1" x14ac:dyDescent="0.35">
      <c r="A6" s="125"/>
      <c r="B6" s="126" t="s">
        <v>133</v>
      </c>
      <c r="C6" s="127"/>
      <c r="D6" s="128"/>
      <c r="E6" s="129"/>
      <c r="G6" s="125"/>
      <c r="H6" s="306"/>
      <c r="I6" s="127"/>
      <c r="J6" s="128"/>
      <c r="K6" s="129"/>
      <c r="L6" s="356"/>
      <c r="M6" s="125"/>
      <c r="N6" s="125"/>
      <c r="O6" s="130"/>
      <c r="Q6" s="125"/>
      <c r="R6" s="131"/>
      <c r="S6" s="132"/>
      <c r="T6" s="127"/>
      <c r="U6" s="128"/>
      <c r="V6" s="129"/>
      <c r="W6" s="356"/>
      <c r="X6" s="131"/>
      <c r="Y6" s="132"/>
      <c r="AA6" s="356"/>
      <c r="AB6" s="131"/>
      <c r="AC6" s="132"/>
    </row>
    <row r="7" spans="1:29" s="33" customFormat="1" ht="20.25" customHeight="1" x14ac:dyDescent="0.45">
      <c r="A7" s="42"/>
      <c r="B7" s="126" t="s">
        <v>136</v>
      </c>
      <c r="C7" s="339"/>
      <c r="D7" s="316"/>
      <c r="E7" s="339"/>
      <c r="F7" s="61"/>
      <c r="G7" s="340"/>
      <c r="H7" s="341"/>
      <c r="I7" s="339"/>
      <c r="J7" s="316"/>
      <c r="K7" s="339"/>
      <c r="L7" s="357"/>
      <c r="M7" s="340"/>
      <c r="N7" s="340"/>
      <c r="O7" s="342"/>
      <c r="P7" s="61"/>
      <c r="Q7" s="343"/>
      <c r="R7" s="343"/>
      <c r="S7" s="111"/>
      <c r="T7" s="339"/>
      <c r="U7" s="316"/>
      <c r="V7" s="339"/>
      <c r="W7" s="357"/>
      <c r="X7" s="343"/>
      <c r="Y7" s="111"/>
      <c r="Z7" s="61"/>
      <c r="AA7" s="357"/>
      <c r="AB7" s="343"/>
      <c r="AC7" s="111"/>
    </row>
    <row r="8" spans="1:29" s="33" customFormat="1" ht="20.25" customHeight="1" x14ac:dyDescent="0.45">
      <c r="A8" s="42"/>
      <c r="B8" s="126"/>
      <c r="C8" s="339"/>
      <c r="D8" s="316"/>
      <c r="E8" s="339"/>
      <c r="F8" s="61"/>
      <c r="G8" s="340"/>
      <c r="H8" s="341"/>
      <c r="I8" s="339"/>
      <c r="J8" s="316"/>
      <c r="K8" s="339"/>
      <c r="L8" s="344"/>
      <c r="M8" s="340"/>
      <c r="N8" s="340"/>
      <c r="O8" s="342"/>
      <c r="P8" s="61"/>
      <c r="Q8" s="343"/>
      <c r="R8" s="343"/>
      <c r="S8" s="111"/>
      <c r="T8" s="339"/>
      <c r="U8" s="316"/>
      <c r="V8" s="339"/>
      <c r="W8" s="344"/>
      <c r="X8" s="343"/>
      <c r="Y8" s="111"/>
      <c r="Z8" s="61"/>
      <c r="AA8" s="344"/>
      <c r="AB8" s="343"/>
      <c r="AC8" s="111"/>
    </row>
    <row r="9" spans="1:29" ht="75" x14ac:dyDescent="0.35">
      <c r="C9" s="133"/>
      <c r="F9" s="134" t="s">
        <v>12</v>
      </c>
      <c r="G9" s="135"/>
      <c r="H9" s="136" t="s">
        <v>13</v>
      </c>
      <c r="I9" s="133"/>
      <c r="L9" s="134" t="s">
        <v>14</v>
      </c>
      <c r="N9" s="137" t="s">
        <v>15</v>
      </c>
      <c r="O9" s="138" t="s">
        <v>150</v>
      </c>
      <c r="Q9" s="134" t="s">
        <v>17</v>
      </c>
      <c r="S9" s="138" t="s">
        <v>18</v>
      </c>
      <c r="T9" s="133"/>
      <c r="W9" s="134" t="s">
        <v>19</v>
      </c>
      <c r="Y9" s="139" t="s">
        <v>20</v>
      </c>
      <c r="AA9" s="134" t="s">
        <v>21</v>
      </c>
      <c r="AC9" s="139" t="s">
        <v>20</v>
      </c>
    </row>
    <row r="10" spans="1:29" ht="30" customHeight="1" x14ac:dyDescent="0.35">
      <c r="B10" s="140" t="s">
        <v>22</v>
      </c>
    </row>
    <row r="11" spans="1:29" ht="27" customHeight="1" x14ac:dyDescent="0.35">
      <c r="A11" s="32" t="s">
        <v>23</v>
      </c>
      <c r="B11" s="130" t="s">
        <v>24</v>
      </c>
      <c r="C11" s="143"/>
      <c r="D11" s="144"/>
      <c r="E11" s="145"/>
      <c r="F11" s="396"/>
      <c r="G11" s="146"/>
      <c r="H11" s="143">
        <f>F11/12</f>
        <v>0</v>
      </c>
      <c r="I11" s="143"/>
      <c r="J11" s="144"/>
      <c r="K11" s="145"/>
      <c r="L11" s="371">
        <f>VLOOKUP($L$4,'2027 Minister Salary Table'!B4:E44,2,FALSE)*MIN(1,$H42)</f>
        <v>56303.303522512753</v>
      </c>
      <c r="M11" s="147"/>
      <c r="N11" s="148">
        <f>L11-F11</f>
        <v>56303.303522512753</v>
      </c>
      <c r="O11" s="148">
        <f>L11/12</f>
        <v>4691.9419602093958</v>
      </c>
      <c r="P11" s="147"/>
      <c r="Q11" s="371">
        <f>VLOOKUP($L$4,'2027 Minister Salary Table'!B4:E44,4,FALSE)*MIN(1,$H42)</f>
        <v>58303.759896667631</v>
      </c>
      <c r="R11" s="147"/>
      <c r="S11" s="148">
        <f>Q11/12</f>
        <v>4858.6466580556362</v>
      </c>
      <c r="T11" s="143"/>
      <c r="U11" s="144"/>
      <c r="V11" s="145"/>
      <c r="W11" s="196"/>
      <c r="X11" s="147"/>
      <c r="Y11" s="147">
        <f>W11/12</f>
        <v>0</v>
      </c>
      <c r="Z11" s="147"/>
      <c r="AA11" s="196"/>
      <c r="AB11" s="147"/>
      <c r="AC11" s="147">
        <f>AA11/12</f>
        <v>0</v>
      </c>
    </row>
    <row r="12" spans="1:29" ht="6" customHeight="1" x14ac:dyDescent="0.35">
      <c r="B12" s="149"/>
      <c r="C12" s="143"/>
      <c r="D12" s="144"/>
      <c r="E12" s="145"/>
      <c r="F12" s="150"/>
      <c r="G12" s="150"/>
      <c r="H12" s="143"/>
      <c r="I12" s="143"/>
      <c r="J12" s="144"/>
      <c r="K12" s="145"/>
      <c r="L12" s="150"/>
      <c r="M12" s="147"/>
      <c r="N12" s="148"/>
      <c r="O12" s="148"/>
      <c r="P12" s="147"/>
      <c r="Q12" s="150"/>
      <c r="R12" s="147"/>
      <c r="S12" s="148"/>
      <c r="T12" s="143"/>
      <c r="U12" s="144"/>
      <c r="V12" s="145"/>
      <c r="W12" s="150"/>
      <c r="X12" s="147"/>
      <c r="Y12" s="147"/>
      <c r="Z12" s="147"/>
      <c r="AA12" s="150"/>
      <c r="AB12" s="147"/>
      <c r="AC12" s="147"/>
    </row>
    <row r="13" spans="1:29" ht="27" customHeight="1" x14ac:dyDescent="0.35">
      <c r="A13" s="32" t="s">
        <v>25</v>
      </c>
      <c r="B13" s="130" t="s">
        <v>103</v>
      </c>
      <c r="C13" s="143"/>
      <c r="D13" s="144"/>
      <c r="E13" s="145"/>
      <c r="F13" s="397"/>
      <c r="G13" s="150"/>
      <c r="H13" s="143">
        <f>F13/12</f>
        <v>0</v>
      </c>
      <c r="I13" s="143"/>
      <c r="J13" s="144"/>
      <c r="K13" s="145"/>
      <c r="L13" s="372">
        <f>L11*$L$5</f>
        <v>28151.651761256377</v>
      </c>
      <c r="M13" s="147"/>
      <c r="N13" s="148">
        <f>L13-F13</f>
        <v>28151.651761256377</v>
      </c>
      <c r="O13" s="148">
        <f>L13/12</f>
        <v>2345.9709801046979</v>
      </c>
      <c r="P13" s="147"/>
      <c r="Q13" s="373">
        <f>Q11*$L$5</f>
        <v>29151.879948333815</v>
      </c>
      <c r="R13" s="147"/>
      <c r="S13" s="148">
        <f>Q13/12</f>
        <v>2429.3233290278181</v>
      </c>
      <c r="T13" s="143"/>
      <c r="U13" s="144"/>
      <c r="V13" s="145"/>
      <c r="W13" s="197"/>
      <c r="X13" s="147"/>
      <c r="Y13" s="147">
        <f>W13/12</f>
        <v>0</v>
      </c>
      <c r="Z13" s="147"/>
      <c r="AA13" s="197"/>
      <c r="AB13" s="147"/>
      <c r="AC13" s="147">
        <f>AA13/12</f>
        <v>0</v>
      </c>
    </row>
    <row r="14" spans="1:29" ht="16.5" customHeight="1" x14ac:dyDescent="0.35">
      <c r="B14" s="151" t="s">
        <v>26</v>
      </c>
      <c r="C14" s="143"/>
      <c r="D14" s="144"/>
      <c r="E14" s="145"/>
      <c r="F14" s="152"/>
      <c r="G14" s="153"/>
      <c r="H14" s="143"/>
      <c r="I14" s="143"/>
      <c r="J14" s="144"/>
      <c r="K14" s="145"/>
      <c r="L14" s="153"/>
      <c r="M14" s="147"/>
      <c r="N14" s="148"/>
      <c r="O14" s="148"/>
      <c r="P14" s="147"/>
      <c r="Q14" s="153"/>
      <c r="R14" s="147"/>
      <c r="S14" s="148"/>
      <c r="T14" s="143"/>
      <c r="U14" s="144"/>
      <c r="V14" s="145"/>
      <c r="W14" s="153"/>
      <c r="X14" s="147"/>
      <c r="Y14" s="147"/>
      <c r="Z14" s="147"/>
      <c r="AA14" s="153"/>
      <c r="AB14" s="147"/>
      <c r="AC14" s="147"/>
    </row>
    <row r="15" spans="1:29" ht="6" customHeight="1" x14ac:dyDescent="0.35">
      <c r="B15" s="151"/>
      <c r="C15" s="143"/>
      <c r="D15" s="144"/>
      <c r="E15" s="145"/>
      <c r="F15" s="152"/>
      <c r="G15" s="153"/>
      <c r="H15" s="143"/>
      <c r="I15" s="143"/>
      <c r="J15" s="144"/>
      <c r="K15" s="145"/>
      <c r="L15" s="153"/>
      <c r="M15" s="147"/>
      <c r="N15" s="148"/>
      <c r="O15" s="148"/>
      <c r="P15" s="147"/>
      <c r="Q15" s="153"/>
      <c r="R15" s="147"/>
      <c r="S15" s="148"/>
      <c r="T15" s="143"/>
      <c r="U15" s="144"/>
      <c r="V15" s="145"/>
      <c r="W15" s="153"/>
      <c r="X15" s="147"/>
      <c r="Y15" s="147"/>
      <c r="Z15" s="147"/>
      <c r="AA15" s="153"/>
      <c r="AB15" s="147"/>
      <c r="AC15" s="147"/>
    </row>
    <row r="16" spans="1:29" ht="27" customHeight="1" x14ac:dyDescent="0.35">
      <c r="A16" s="32" t="s">
        <v>27</v>
      </c>
      <c r="B16" s="130" t="s">
        <v>28</v>
      </c>
      <c r="C16" s="143"/>
      <c r="D16" s="144"/>
      <c r="E16" s="145"/>
      <c r="F16" s="197"/>
      <c r="G16" s="153"/>
      <c r="H16" s="143">
        <f>F16/12</f>
        <v>0</v>
      </c>
      <c r="I16" s="143"/>
      <c r="J16" s="144"/>
      <c r="K16" s="145"/>
      <c r="L16" s="197"/>
      <c r="M16" s="147"/>
      <c r="N16" s="148"/>
      <c r="O16" s="148">
        <f>L16/12</f>
        <v>0</v>
      </c>
      <c r="P16" s="147"/>
      <c r="Q16" s="197"/>
      <c r="R16" s="147"/>
      <c r="S16" s="148">
        <f>Q16/12</f>
        <v>0</v>
      </c>
      <c r="T16" s="143"/>
      <c r="U16" s="144"/>
      <c r="V16" s="145"/>
      <c r="W16" s="197"/>
      <c r="X16" s="147"/>
      <c r="Y16" s="147">
        <f>W16/12</f>
        <v>0</v>
      </c>
      <c r="Z16" s="147"/>
      <c r="AA16" s="197"/>
      <c r="AB16" s="147"/>
      <c r="AC16" s="147">
        <f>AA16/12</f>
        <v>0</v>
      </c>
    </row>
    <row r="17" spans="1:29" ht="6" customHeight="1" x14ac:dyDescent="0.35">
      <c r="C17" s="143"/>
      <c r="D17" s="144"/>
      <c r="E17" s="145"/>
      <c r="F17" s="152"/>
      <c r="G17" s="153"/>
      <c r="H17" s="143"/>
      <c r="I17" s="143"/>
      <c r="J17" s="144"/>
      <c r="K17" s="145"/>
      <c r="L17" s="153"/>
      <c r="M17" s="147"/>
      <c r="N17" s="148"/>
      <c r="O17" s="148"/>
      <c r="P17" s="147"/>
      <c r="Q17" s="153"/>
      <c r="R17" s="147"/>
      <c r="S17" s="148"/>
      <c r="T17" s="143"/>
      <c r="U17" s="144"/>
      <c r="V17" s="145"/>
      <c r="W17" s="153"/>
      <c r="X17" s="147"/>
      <c r="Y17" s="147"/>
      <c r="Z17" s="147"/>
      <c r="AA17" s="153"/>
      <c r="AB17" s="147"/>
      <c r="AC17" s="147"/>
    </row>
    <row r="18" spans="1:29" ht="27" customHeight="1" x14ac:dyDescent="0.35">
      <c r="A18" s="32" t="s">
        <v>29</v>
      </c>
      <c r="B18" s="130" t="s">
        <v>30</v>
      </c>
      <c r="C18" s="143"/>
      <c r="D18" s="144"/>
      <c r="E18" s="145"/>
      <c r="F18" s="150">
        <f>(F11+F13+F16)*7.65%</f>
        <v>0</v>
      </c>
      <c r="G18" s="150"/>
      <c r="H18" s="143">
        <f>F18/12</f>
        <v>0</v>
      </c>
      <c r="I18" s="143"/>
      <c r="J18" s="144"/>
      <c r="K18" s="145"/>
      <c r="L18" s="150">
        <f>(L11+L13+L16)*7.65%</f>
        <v>6460.8040792083384</v>
      </c>
      <c r="M18" s="147"/>
      <c r="N18" s="148">
        <f>L18-F18</f>
        <v>6460.8040792083384</v>
      </c>
      <c r="O18" s="148">
        <f>L18/12</f>
        <v>538.40033993402824</v>
      </c>
      <c r="P18" s="147"/>
      <c r="Q18" s="150">
        <f>(Q11+Q13+Q16)*7.65%</f>
        <v>6690.356448142611</v>
      </c>
      <c r="R18" s="147"/>
      <c r="S18" s="148">
        <f>Q18/12</f>
        <v>557.52970401188429</v>
      </c>
      <c r="T18" s="143"/>
      <c r="U18" s="144"/>
      <c r="V18" s="145"/>
      <c r="W18" s="150">
        <f>(W11+W13+W16)*7.65%</f>
        <v>0</v>
      </c>
      <c r="X18" s="147"/>
      <c r="Y18" s="147">
        <f>W18/12</f>
        <v>0</v>
      </c>
      <c r="Z18" s="147"/>
      <c r="AA18" s="150">
        <f>(AA11+AA13+AA16)*7.65%</f>
        <v>0</v>
      </c>
      <c r="AB18" s="147"/>
      <c r="AC18" s="147">
        <f>AA18/12</f>
        <v>0</v>
      </c>
    </row>
    <row r="19" spans="1:29" s="160" customFormat="1" ht="18" x14ac:dyDescent="0.35">
      <c r="A19" s="32"/>
      <c r="B19" s="154" t="s">
        <v>31</v>
      </c>
      <c r="C19" s="155"/>
      <c r="D19" s="144"/>
      <c r="E19" s="145"/>
      <c r="F19" s="156"/>
      <c r="G19" s="156"/>
      <c r="H19" s="157"/>
      <c r="I19" s="155"/>
      <c r="J19" s="144"/>
      <c r="K19" s="145"/>
      <c r="L19" s="156"/>
      <c r="M19" s="147"/>
      <c r="N19" s="158"/>
      <c r="O19" s="158"/>
      <c r="P19" s="147"/>
      <c r="Q19" s="156"/>
      <c r="R19" s="147"/>
      <c r="S19" s="158"/>
      <c r="T19" s="155"/>
      <c r="U19" s="144"/>
      <c r="V19" s="145"/>
      <c r="W19" s="156"/>
      <c r="X19" s="147"/>
      <c r="Y19" s="159"/>
      <c r="Z19" s="147"/>
      <c r="AA19" s="156"/>
      <c r="AB19" s="147"/>
      <c r="AC19" s="159"/>
    </row>
    <row r="20" spans="1:29" s="168" customFormat="1" ht="40" customHeight="1" x14ac:dyDescent="0.35">
      <c r="A20" s="32" t="s">
        <v>32</v>
      </c>
      <c r="B20" s="161" t="s">
        <v>33</v>
      </c>
      <c r="C20" s="155"/>
      <c r="D20" s="144"/>
      <c r="E20" s="145"/>
      <c r="F20" s="162">
        <f>SUM(F11:F19)</f>
        <v>0</v>
      </c>
      <c r="G20" s="162"/>
      <c r="H20" s="163">
        <f>F20/12</f>
        <v>0</v>
      </c>
      <c r="I20" s="155"/>
      <c r="J20" s="144"/>
      <c r="K20" s="145"/>
      <c r="L20" s="162">
        <f>SUM(L11:L19)</f>
        <v>90915.759362977464</v>
      </c>
      <c r="M20" s="147"/>
      <c r="N20" s="164">
        <f>L20-F20</f>
        <v>90915.759362977464</v>
      </c>
      <c r="O20" s="164">
        <f>L20/12</f>
        <v>7576.3132802481223</v>
      </c>
      <c r="P20" s="147"/>
      <c r="Q20" s="162">
        <f>SUM(Q11:Q19)</f>
        <v>94145.996293144068</v>
      </c>
      <c r="R20" s="147"/>
      <c r="S20" s="164">
        <f>Q20/12</f>
        <v>7845.4996910953387</v>
      </c>
      <c r="T20" s="155"/>
      <c r="U20" s="144"/>
      <c r="V20" s="145"/>
      <c r="W20" s="165">
        <f>SUM(W11:W19)</f>
        <v>0</v>
      </c>
      <c r="X20" s="166"/>
      <c r="Y20" s="167">
        <f>W20/12</f>
        <v>0</v>
      </c>
      <c r="Z20" s="147"/>
      <c r="AA20" s="165">
        <f>SUM(AA11:AA19)</f>
        <v>0</v>
      </c>
      <c r="AB20" s="166"/>
      <c r="AC20" s="167">
        <f>AA20/12</f>
        <v>0</v>
      </c>
    </row>
    <row r="21" spans="1:29" ht="17.5" customHeight="1" x14ac:dyDescent="0.35">
      <c r="B21" s="130"/>
      <c r="C21" s="143"/>
      <c r="D21" s="144"/>
      <c r="E21" s="145"/>
      <c r="F21" s="169"/>
      <c r="G21" s="169"/>
      <c r="H21" s="143"/>
      <c r="I21" s="143"/>
      <c r="J21" s="144"/>
      <c r="K21" s="145"/>
      <c r="L21" s="169"/>
      <c r="M21" s="147"/>
      <c r="N21" s="148"/>
      <c r="O21" s="148"/>
      <c r="P21" s="147"/>
      <c r="Q21" s="169"/>
      <c r="R21" s="147"/>
      <c r="S21" s="148"/>
      <c r="T21" s="143"/>
      <c r="U21" s="144"/>
      <c r="V21" s="145"/>
      <c r="W21" s="169"/>
      <c r="X21" s="147"/>
      <c r="Y21" s="147"/>
      <c r="Z21" s="147"/>
      <c r="AA21" s="169"/>
      <c r="AB21" s="147"/>
      <c r="AC21" s="147"/>
    </row>
    <row r="22" spans="1:29" ht="30" customHeight="1" x14ac:dyDescent="0.35">
      <c r="B22" s="140" t="s">
        <v>34</v>
      </c>
      <c r="C22" s="143"/>
      <c r="D22" s="144"/>
      <c r="E22" s="145"/>
      <c r="F22" s="169"/>
      <c r="G22" s="169"/>
      <c r="H22" s="143"/>
      <c r="I22" s="143"/>
      <c r="J22" s="144"/>
      <c r="K22" s="145"/>
      <c r="L22" s="169"/>
      <c r="M22" s="147"/>
      <c r="N22" s="148"/>
      <c r="O22" s="148"/>
      <c r="P22" s="147"/>
      <c r="Q22" s="169"/>
      <c r="R22" s="147"/>
      <c r="S22" s="148"/>
      <c r="T22" s="143"/>
      <c r="U22" s="144"/>
      <c r="V22" s="145"/>
      <c r="W22" s="169"/>
      <c r="X22" s="147"/>
      <c r="Y22" s="147"/>
      <c r="Z22" s="147"/>
      <c r="AA22" s="169"/>
      <c r="AB22" s="147"/>
      <c r="AC22" s="147"/>
    </row>
    <row r="23" spans="1:29" ht="27" customHeight="1" x14ac:dyDescent="0.35">
      <c r="A23" s="32" t="s">
        <v>35</v>
      </c>
      <c r="B23" s="130" t="s">
        <v>36</v>
      </c>
      <c r="C23" s="143"/>
      <c r="D23" s="144"/>
      <c r="E23" s="145"/>
      <c r="F23" s="197"/>
      <c r="G23" s="169"/>
      <c r="H23" s="143"/>
      <c r="I23" s="143"/>
      <c r="J23" s="144"/>
      <c r="K23" s="145"/>
      <c r="L23" s="197"/>
      <c r="M23" s="147"/>
      <c r="N23" s="148"/>
      <c r="O23" s="148"/>
      <c r="P23" s="147"/>
      <c r="Q23" s="197"/>
      <c r="R23" s="147"/>
      <c r="S23" s="148"/>
      <c r="T23" s="143"/>
      <c r="U23" s="144"/>
      <c r="V23" s="145"/>
      <c r="W23" s="197"/>
      <c r="X23" s="147"/>
      <c r="Y23" s="147">
        <f>W23/12</f>
        <v>0</v>
      </c>
      <c r="Z23" s="147"/>
      <c r="AA23" s="197"/>
      <c r="AB23" s="147"/>
      <c r="AC23" s="147">
        <f>AA23/12</f>
        <v>0</v>
      </c>
    </row>
    <row r="24" spans="1:29" ht="6" customHeight="1" x14ac:dyDescent="0.35">
      <c r="B24" s="130"/>
      <c r="C24" s="143"/>
      <c r="D24" s="144"/>
      <c r="E24" s="145"/>
      <c r="F24" s="169"/>
      <c r="G24" s="169"/>
      <c r="H24" s="143"/>
      <c r="I24" s="143"/>
      <c r="J24" s="144"/>
      <c r="K24" s="145"/>
      <c r="L24" s="169"/>
      <c r="M24" s="147"/>
      <c r="N24" s="148"/>
      <c r="O24" s="148"/>
      <c r="P24" s="147"/>
      <c r="Q24" s="169"/>
      <c r="R24" s="147"/>
      <c r="S24" s="148"/>
      <c r="T24" s="143"/>
      <c r="U24" s="144"/>
      <c r="V24" s="145"/>
      <c r="W24" s="169"/>
      <c r="X24" s="147"/>
      <c r="Y24" s="147"/>
      <c r="Z24" s="147"/>
      <c r="AA24" s="169"/>
      <c r="AB24" s="147"/>
      <c r="AC24" s="147"/>
    </row>
    <row r="25" spans="1:29" s="160" customFormat="1" ht="24" customHeight="1" x14ac:dyDescent="0.35">
      <c r="A25" s="32" t="s">
        <v>37</v>
      </c>
      <c r="B25" s="170" t="s">
        <v>38</v>
      </c>
      <c r="C25" s="155"/>
      <c r="D25" s="144"/>
      <c r="E25" s="145"/>
      <c r="F25" s="197"/>
      <c r="G25" s="171"/>
      <c r="H25" s="157"/>
      <c r="I25" s="155"/>
      <c r="J25" s="144"/>
      <c r="K25" s="145"/>
      <c r="L25" s="197"/>
      <c r="M25" s="147"/>
      <c r="N25" s="158"/>
      <c r="O25" s="158"/>
      <c r="P25" s="147"/>
      <c r="Q25" s="197"/>
      <c r="R25" s="147"/>
      <c r="S25" s="158"/>
      <c r="T25" s="155"/>
      <c r="U25" s="144"/>
      <c r="V25" s="145"/>
      <c r="W25" s="197"/>
      <c r="X25" s="147"/>
      <c r="Y25" s="147">
        <f>W25/12</f>
        <v>0</v>
      </c>
      <c r="Z25" s="147"/>
      <c r="AA25" s="197"/>
      <c r="AB25" s="147"/>
      <c r="AC25" s="147">
        <f>AA25/12</f>
        <v>0</v>
      </c>
    </row>
    <row r="26" spans="1:29" s="168" customFormat="1" ht="40" customHeight="1" x14ac:dyDescent="0.35">
      <c r="A26" s="32" t="s">
        <v>39</v>
      </c>
      <c r="B26" s="161" t="s">
        <v>40</v>
      </c>
      <c r="C26" s="155"/>
      <c r="D26" s="144"/>
      <c r="E26" s="145"/>
      <c r="F26" s="162">
        <f>SUM(F15:F25)</f>
        <v>0</v>
      </c>
      <c r="G26" s="162"/>
      <c r="H26" s="163">
        <f>F26/12</f>
        <v>0</v>
      </c>
      <c r="I26" s="155"/>
      <c r="J26" s="144"/>
      <c r="K26" s="145"/>
      <c r="L26" s="162">
        <f>SUM(L23:L25)</f>
        <v>0</v>
      </c>
      <c r="M26" s="147"/>
      <c r="N26" s="164">
        <f>L26-F26</f>
        <v>0</v>
      </c>
      <c r="O26" s="164">
        <f>L26/12</f>
        <v>0</v>
      </c>
      <c r="P26" s="147"/>
      <c r="Q26" s="162">
        <f>SUM(Q23:Q25)</f>
        <v>0</v>
      </c>
      <c r="R26" s="147"/>
      <c r="S26" s="164">
        <f>Q26/12</f>
        <v>0</v>
      </c>
      <c r="T26" s="155"/>
      <c r="U26" s="144"/>
      <c r="V26" s="145"/>
      <c r="W26" s="162">
        <f>SUM(W23:W25)</f>
        <v>0</v>
      </c>
      <c r="X26" s="147"/>
      <c r="Y26" s="167">
        <f>W26/12</f>
        <v>0</v>
      </c>
      <c r="Z26" s="147"/>
      <c r="AA26" s="162">
        <f>SUM(AA23:AA25)</f>
        <v>0</v>
      </c>
      <c r="AB26" s="147"/>
      <c r="AC26" s="167">
        <f>AA26/12</f>
        <v>0</v>
      </c>
    </row>
    <row r="27" spans="1:29" ht="17.5" customHeight="1" x14ac:dyDescent="0.35">
      <c r="B27" s="130"/>
      <c r="C27" s="143"/>
      <c r="D27" s="144"/>
      <c r="E27" s="145"/>
      <c r="F27" s="169"/>
      <c r="G27" s="169"/>
      <c r="H27" s="143"/>
      <c r="I27" s="143"/>
      <c r="J27" s="144"/>
      <c r="K27" s="145"/>
      <c r="L27" s="169"/>
      <c r="M27" s="147"/>
      <c r="N27" s="148"/>
      <c r="O27" s="148"/>
      <c r="P27" s="147"/>
      <c r="Q27" s="169"/>
      <c r="R27" s="147"/>
      <c r="S27" s="148"/>
      <c r="T27" s="143"/>
      <c r="U27" s="144"/>
      <c r="V27" s="145"/>
      <c r="W27" s="147"/>
      <c r="X27" s="147"/>
      <c r="Y27" s="147"/>
      <c r="Z27" s="147"/>
      <c r="AA27" s="147"/>
      <c r="AB27" s="147"/>
      <c r="AC27" s="147"/>
    </row>
    <row r="28" spans="1:29" ht="18.75" hidden="1" customHeight="1" x14ac:dyDescent="0.35">
      <c r="B28" s="124"/>
      <c r="C28" s="143"/>
      <c r="D28" s="144"/>
      <c r="E28" s="145"/>
      <c r="F28" s="147"/>
      <c r="G28" s="147"/>
      <c r="H28" s="143"/>
      <c r="I28" s="143"/>
      <c r="J28" s="144"/>
      <c r="K28" s="145"/>
      <c r="L28" s="147"/>
      <c r="M28" s="147"/>
      <c r="N28" s="148"/>
      <c r="O28" s="148"/>
      <c r="P28" s="147"/>
      <c r="Q28" s="147"/>
      <c r="R28" s="147"/>
      <c r="S28" s="148"/>
      <c r="T28" s="143"/>
      <c r="U28" s="144"/>
      <c r="V28" s="145"/>
      <c r="W28" s="147"/>
      <c r="X28" s="147"/>
      <c r="Y28" s="147"/>
      <c r="Z28" s="147"/>
      <c r="AA28" s="147"/>
      <c r="AB28" s="147"/>
      <c r="AC28" s="147"/>
    </row>
    <row r="29" spans="1:29" ht="27" customHeight="1" x14ac:dyDescent="0.35">
      <c r="B29" s="172" t="s">
        <v>41</v>
      </c>
      <c r="C29" s="143"/>
      <c r="D29" s="144"/>
      <c r="E29" s="145"/>
      <c r="F29" s="173"/>
      <c r="G29" s="173"/>
      <c r="H29" s="143"/>
      <c r="I29" s="143"/>
      <c r="J29" s="144"/>
      <c r="K29" s="145"/>
      <c r="L29" s="173"/>
      <c r="M29" s="147"/>
      <c r="N29" s="148"/>
      <c r="O29" s="148"/>
      <c r="P29" s="147"/>
      <c r="Q29" s="173"/>
      <c r="R29" s="147"/>
      <c r="S29" s="148"/>
      <c r="T29" s="143"/>
      <c r="U29" s="144"/>
      <c r="V29" s="145"/>
      <c r="W29" s="173"/>
      <c r="X29" s="147"/>
      <c r="Y29" s="147"/>
      <c r="Z29" s="147"/>
      <c r="AA29" s="173"/>
      <c r="AB29" s="147"/>
      <c r="AC29" s="147"/>
    </row>
    <row r="30" spans="1:29" ht="27" customHeight="1" x14ac:dyDescent="0.35">
      <c r="A30" s="32" t="s">
        <v>42</v>
      </c>
      <c r="B30" s="130" t="s">
        <v>141</v>
      </c>
      <c r="C30" s="143"/>
      <c r="D30" s="144"/>
      <c r="E30" s="145"/>
      <c r="F30" s="174">
        <f>0.1*F20</f>
        <v>0</v>
      </c>
      <c r="G30" s="174"/>
      <c r="H30" s="143">
        <f>F30/12</f>
        <v>0</v>
      </c>
      <c r="I30" s="143"/>
      <c r="J30" s="144"/>
      <c r="K30" s="145"/>
      <c r="L30" s="174">
        <f>MAX(0.1,$L$7)*L20</f>
        <v>9091.575936297746</v>
      </c>
      <c r="M30" s="147"/>
      <c r="N30" s="148">
        <f>L30-F30</f>
        <v>9091.575936297746</v>
      </c>
      <c r="O30" s="148">
        <f>L30/12</f>
        <v>757.63132802481221</v>
      </c>
      <c r="P30" s="147"/>
      <c r="Q30" s="174">
        <f>MAX(0.1,$L$7)*Q20</f>
        <v>9414.5996293144071</v>
      </c>
      <c r="R30" s="147"/>
      <c r="S30" s="148">
        <f>Q30/12</f>
        <v>784.54996910953389</v>
      </c>
      <c r="T30" s="143"/>
      <c r="U30" s="144"/>
      <c r="V30" s="145"/>
      <c r="W30" s="174">
        <f>0.1*W20</f>
        <v>0</v>
      </c>
      <c r="X30" s="147"/>
      <c r="Y30" s="147">
        <f>W30/12</f>
        <v>0</v>
      </c>
      <c r="Z30" s="147"/>
      <c r="AA30" s="174">
        <f>0.1*AA20</f>
        <v>0</v>
      </c>
      <c r="AB30" s="147"/>
      <c r="AC30" s="147">
        <f>AA30/12</f>
        <v>0</v>
      </c>
    </row>
    <row r="31" spans="1:29" ht="6" customHeight="1" x14ac:dyDescent="0.35">
      <c r="B31" s="175"/>
      <c r="C31" s="143"/>
      <c r="D31" s="144"/>
      <c r="E31" s="145"/>
      <c r="F31" s="174"/>
      <c r="G31" s="174"/>
      <c r="H31" s="143"/>
      <c r="I31" s="143"/>
      <c r="J31" s="144"/>
      <c r="K31" s="145"/>
      <c r="L31" s="174"/>
      <c r="M31" s="147"/>
      <c r="N31" s="148"/>
      <c r="O31" s="148"/>
      <c r="P31" s="147"/>
      <c r="Q31" s="174"/>
      <c r="R31" s="147"/>
      <c r="S31" s="148"/>
      <c r="T31" s="143"/>
      <c r="U31" s="144"/>
      <c r="V31" s="145"/>
      <c r="W31" s="174"/>
      <c r="X31" s="147"/>
      <c r="Y31" s="147"/>
      <c r="Z31" s="147"/>
      <c r="AA31" s="174"/>
      <c r="AB31" s="147"/>
      <c r="AC31" s="147"/>
    </row>
    <row r="32" spans="1:29" ht="29.5" customHeight="1" x14ac:dyDescent="0.35">
      <c r="A32" s="32" t="s">
        <v>44</v>
      </c>
      <c r="B32" s="130" t="s">
        <v>156</v>
      </c>
      <c r="C32" s="143"/>
      <c r="D32" s="144"/>
      <c r="E32" s="145"/>
      <c r="F32" s="198"/>
      <c r="G32" s="174"/>
      <c r="H32" s="143">
        <f>F32/12</f>
        <v>0</v>
      </c>
      <c r="I32" s="143"/>
      <c r="J32" s="144"/>
      <c r="K32" s="145"/>
      <c r="L32" s="198"/>
      <c r="M32" s="147"/>
      <c r="N32" s="148">
        <f>L32-F32</f>
        <v>0</v>
      </c>
      <c r="O32" s="148">
        <f>L32/12</f>
        <v>0</v>
      </c>
      <c r="P32" s="147"/>
      <c r="Q32" s="198"/>
      <c r="R32" s="147"/>
      <c r="S32" s="148">
        <f>Q32/12</f>
        <v>0</v>
      </c>
      <c r="T32" s="143"/>
      <c r="U32" s="144"/>
      <c r="V32" s="145"/>
      <c r="W32" s="198"/>
      <c r="X32" s="147"/>
      <c r="Y32" s="147">
        <f>W32/12</f>
        <v>0</v>
      </c>
      <c r="Z32" s="147"/>
      <c r="AA32" s="198"/>
      <c r="AB32" s="147"/>
      <c r="AC32" s="147">
        <f>AA32/12</f>
        <v>0</v>
      </c>
    </row>
    <row r="33" spans="1:29" ht="6" customHeight="1" x14ac:dyDescent="0.35">
      <c r="B33" s="175"/>
      <c r="C33" s="143"/>
      <c r="D33" s="144"/>
      <c r="E33" s="145"/>
      <c r="F33" s="176"/>
      <c r="G33" s="176"/>
      <c r="H33" s="143"/>
      <c r="I33" s="143"/>
      <c r="J33" s="144"/>
      <c r="K33" s="145"/>
      <c r="L33" s="176"/>
      <c r="M33" s="147"/>
      <c r="N33" s="148"/>
      <c r="O33" s="148"/>
      <c r="P33" s="147"/>
      <c r="Q33" s="176"/>
      <c r="R33" s="147"/>
      <c r="S33" s="148"/>
      <c r="T33" s="143"/>
      <c r="U33" s="144"/>
      <c r="V33" s="145"/>
      <c r="W33" s="176"/>
      <c r="X33" s="147"/>
      <c r="Y33" s="147"/>
      <c r="Z33" s="147"/>
      <c r="AA33" s="176"/>
      <c r="AB33" s="147"/>
      <c r="AC33" s="147"/>
    </row>
    <row r="34" spans="1:29" ht="27" customHeight="1" x14ac:dyDescent="0.35">
      <c r="A34" s="32" t="s">
        <v>45</v>
      </c>
      <c r="B34" s="130" t="s">
        <v>101</v>
      </c>
      <c r="C34" s="155"/>
      <c r="D34" s="144"/>
      <c r="E34" s="145"/>
      <c r="F34" s="336">
        <f>F20*0.005</f>
        <v>0</v>
      </c>
      <c r="G34" s="174"/>
      <c r="H34" s="155">
        <f>F34/12</f>
        <v>0</v>
      </c>
      <c r="I34" s="155"/>
      <c r="J34" s="144"/>
      <c r="K34" s="145"/>
      <c r="L34" s="336">
        <f>L20*0.005</f>
        <v>454.57879681488731</v>
      </c>
      <c r="M34" s="147"/>
      <c r="N34" s="148">
        <f>L34-F34</f>
        <v>454.57879681488731</v>
      </c>
      <c r="O34" s="148">
        <f>L34/12</f>
        <v>37.881566401240612</v>
      </c>
      <c r="P34" s="147"/>
      <c r="Q34" s="336">
        <f>Q20*0.005</f>
        <v>470.72998146572036</v>
      </c>
      <c r="R34" s="147"/>
      <c r="S34" s="148">
        <f>Q34/12</f>
        <v>39.227498455476699</v>
      </c>
      <c r="T34" s="155"/>
      <c r="U34" s="144"/>
      <c r="V34" s="145"/>
      <c r="W34" s="336">
        <f>W20*0.005</f>
        <v>0</v>
      </c>
      <c r="X34" s="147"/>
      <c r="Y34" s="147">
        <f>W34/12</f>
        <v>0</v>
      </c>
      <c r="Z34" s="147"/>
      <c r="AA34" s="336">
        <f>AA20*0.005</f>
        <v>0</v>
      </c>
      <c r="AB34" s="147"/>
      <c r="AC34" s="147">
        <f>AA34/12</f>
        <v>0</v>
      </c>
    </row>
    <row r="35" spans="1:29" s="33" customFormat="1" ht="6.5" customHeight="1" x14ac:dyDescent="0.4">
      <c r="B35" s="43"/>
      <c r="C35" s="329"/>
      <c r="D35" s="330"/>
      <c r="E35" s="329"/>
      <c r="F35" s="331"/>
      <c r="G35" s="90"/>
      <c r="H35" s="332"/>
      <c r="I35" s="329"/>
      <c r="J35" s="330"/>
      <c r="K35" s="329"/>
      <c r="L35" s="331"/>
      <c r="M35" s="61"/>
      <c r="N35" s="62"/>
      <c r="O35" s="61"/>
      <c r="P35" s="61"/>
      <c r="Q35" s="331"/>
      <c r="R35" s="61"/>
      <c r="S35" s="61"/>
      <c r="T35" s="329"/>
      <c r="U35" s="330"/>
      <c r="V35" s="329"/>
      <c r="W35" s="331"/>
      <c r="X35" s="61"/>
      <c r="Y35" s="61"/>
      <c r="Z35" s="61"/>
      <c r="AA35" s="331"/>
      <c r="AB35" s="61"/>
      <c r="AC35" s="61"/>
    </row>
    <row r="36" spans="1:29" s="208" customFormat="1" ht="24" customHeight="1" x14ac:dyDescent="0.45">
      <c r="A36" s="208" t="s">
        <v>46</v>
      </c>
      <c r="B36" s="202" t="s">
        <v>139</v>
      </c>
      <c r="C36" s="335"/>
      <c r="D36" s="333"/>
      <c r="E36" s="335"/>
      <c r="F36" s="359" t="s">
        <v>143</v>
      </c>
      <c r="G36" s="117"/>
      <c r="H36" s="215"/>
      <c r="I36" s="335"/>
      <c r="J36" s="333"/>
      <c r="K36" s="335"/>
      <c r="L36" s="359" t="s">
        <v>143</v>
      </c>
      <c r="M36" s="204"/>
      <c r="N36" s="207"/>
      <c r="O36" s="215"/>
      <c r="P36" s="204"/>
      <c r="Q36" s="359" t="s">
        <v>143</v>
      </c>
      <c r="R36" s="204"/>
      <c r="S36" s="215"/>
      <c r="T36" s="335"/>
      <c r="U36" s="333"/>
      <c r="V36" s="335"/>
      <c r="W36" s="359" t="s">
        <v>143</v>
      </c>
      <c r="X36" s="204"/>
      <c r="Y36" s="215"/>
      <c r="Z36" s="204"/>
      <c r="AA36" s="359" t="s">
        <v>143</v>
      </c>
      <c r="AB36" s="204"/>
      <c r="AC36" s="215"/>
    </row>
    <row r="37" spans="1:29" s="33" customFormat="1" ht="6" customHeight="1" x14ac:dyDescent="0.45">
      <c r="B37" s="42"/>
      <c r="C37" s="329"/>
      <c r="D37" s="330"/>
      <c r="E37" s="329"/>
      <c r="F37" s="84"/>
      <c r="G37" s="84"/>
      <c r="H37" s="334"/>
      <c r="I37" s="329"/>
      <c r="J37" s="330"/>
      <c r="K37" s="329"/>
      <c r="L37" s="84"/>
      <c r="M37" s="61"/>
      <c r="N37" s="62"/>
      <c r="O37" s="61"/>
      <c r="P37" s="61"/>
      <c r="Q37" s="84"/>
      <c r="R37" s="61"/>
      <c r="S37" s="61"/>
      <c r="T37" s="329"/>
      <c r="U37" s="330"/>
      <c r="V37" s="329"/>
      <c r="W37" s="84"/>
      <c r="X37" s="61"/>
      <c r="Y37" s="61"/>
      <c r="Z37" s="61"/>
      <c r="AA37" s="84"/>
      <c r="AB37" s="61"/>
      <c r="AC37" s="61"/>
    </row>
    <row r="38" spans="1:29" s="168" customFormat="1" ht="40" customHeight="1" x14ac:dyDescent="0.35">
      <c r="A38" s="32" t="s">
        <v>137</v>
      </c>
      <c r="B38" s="161" t="s">
        <v>138</v>
      </c>
      <c r="C38" s="155"/>
      <c r="D38" s="144"/>
      <c r="E38" s="145"/>
      <c r="F38" s="162">
        <f>F30+F32+F34</f>
        <v>0</v>
      </c>
      <c r="G38" s="162"/>
      <c r="H38" s="163">
        <f>F38/12</f>
        <v>0</v>
      </c>
      <c r="I38" s="155"/>
      <c r="J38" s="144"/>
      <c r="K38" s="145"/>
      <c r="L38" s="162">
        <f>L30+L32+L34</f>
        <v>9546.154733112633</v>
      </c>
      <c r="M38" s="147"/>
      <c r="N38" s="164">
        <f>L38-F38</f>
        <v>9546.154733112633</v>
      </c>
      <c r="O38" s="164">
        <f>L38/12</f>
        <v>795.51289442605275</v>
      </c>
      <c r="P38" s="147"/>
      <c r="Q38" s="162">
        <f>Q30+Q32+Q34</f>
        <v>9885.329610780127</v>
      </c>
      <c r="R38" s="147"/>
      <c r="S38" s="164">
        <f>Q38/12</f>
        <v>823.77746756501062</v>
      </c>
      <c r="T38" s="155"/>
      <c r="U38" s="144"/>
      <c r="V38" s="145"/>
      <c r="W38" s="162">
        <f>W30+W32+W34</f>
        <v>0</v>
      </c>
      <c r="X38" s="147"/>
      <c r="Y38" s="167">
        <f>W38/12</f>
        <v>0</v>
      </c>
      <c r="Z38" s="147"/>
      <c r="AA38" s="162">
        <f>AA30+AA32+AA34</f>
        <v>0</v>
      </c>
      <c r="AB38" s="147"/>
      <c r="AC38" s="167">
        <f>AA38/12</f>
        <v>0</v>
      </c>
    </row>
    <row r="39" spans="1:29" ht="17.5" customHeight="1" x14ac:dyDescent="0.35">
      <c r="B39" s="130"/>
      <c r="C39" s="143"/>
      <c r="D39" s="144"/>
      <c r="E39" s="145"/>
      <c r="F39" s="147"/>
      <c r="G39" s="147"/>
      <c r="H39" s="143"/>
      <c r="I39" s="143"/>
      <c r="J39" s="144"/>
      <c r="K39" s="145"/>
      <c r="L39" s="147"/>
      <c r="M39" s="147"/>
      <c r="N39" s="148"/>
      <c r="O39" s="148"/>
      <c r="P39" s="147"/>
      <c r="Q39" s="147"/>
      <c r="R39" s="147"/>
      <c r="S39" s="148"/>
      <c r="T39" s="143"/>
      <c r="U39" s="144"/>
      <c r="V39" s="145"/>
      <c r="W39" s="147"/>
      <c r="X39" s="147"/>
      <c r="Y39" s="147"/>
      <c r="Z39" s="147"/>
      <c r="AA39" s="147"/>
      <c r="AB39" s="147"/>
      <c r="AC39" s="147"/>
    </row>
    <row r="40" spans="1:29" ht="1" hidden="1" customHeight="1" x14ac:dyDescent="0.35">
      <c r="B40" s="130"/>
      <c r="C40" s="143"/>
      <c r="D40" s="144"/>
      <c r="E40" s="145"/>
      <c r="F40" s="147"/>
      <c r="G40" s="147"/>
      <c r="H40" s="143"/>
      <c r="I40" s="143"/>
      <c r="J40" s="144"/>
      <c r="K40" s="145"/>
      <c r="L40" s="147"/>
      <c r="M40" s="147"/>
      <c r="N40" s="148"/>
      <c r="O40" s="148"/>
      <c r="P40" s="147"/>
      <c r="Q40" s="147"/>
      <c r="R40" s="147"/>
      <c r="S40" s="148"/>
      <c r="T40" s="143"/>
      <c r="U40" s="144"/>
      <c r="V40" s="145"/>
      <c r="W40" s="147"/>
      <c r="X40" s="147"/>
      <c r="Y40" s="147"/>
      <c r="Z40" s="147"/>
      <c r="AA40" s="147"/>
      <c r="AB40" s="147"/>
      <c r="AC40" s="147"/>
    </row>
    <row r="41" spans="1:29" ht="44.15" customHeight="1" thickBot="1" x14ac:dyDescent="0.4">
      <c r="B41" s="177" t="s">
        <v>48</v>
      </c>
      <c r="C41" s="155"/>
      <c r="D41" s="144"/>
      <c r="E41" s="145"/>
      <c r="F41" s="178">
        <f>F20+F38</f>
        <v>0</v>
      </c>
      <c r="G41" s="178"/>
      <c r="H41" s="179">
        <f>F41/12</f>
        <v>0</v>
      </c>
      <c r="I41" s="155"/>
      <c r="J41" s="144"/>
      <c r="K41" s="145"/>
      <c r="L41" s="178">
        <f>L20+L38</f>
        <v>100461.9140960901</v>
      </c>
      <c r="M41" s="147"/>
      <c r="N41" s="180">
        <f>L41-F41</f>
        <v>100461.9140960901</v>
      </c>
      <c r="O41" s="180">
        <f>L41/12</f>
        <v>8371.8261746741755</v>
      </c>
      <c r="P41" s="147"/>
      <c r="Q41" s="178">
        <f>Q20+Q38</f>
        <v>104031.3259039242</v>
      </c>
      <c r="R41" s="147"/>
      <c r="S41" s="180">
        <f>Q41/12</f>
        <v>8669.2771586603503</v>
      </c>
      <c r="T41" s="155"/>
      <c r="U41" s="144"/>
      <c r="V41" s="145"/>
      <c r="W41" s="178">
        <f>W20+W26+W38</f>
        <v>0</v>
      </c>
      <c r="X41" s="181"/>
      <c r="Y41" s="182">
        <f>W41/12</f>
        <v>0</v>
      </c>
      <c r="Z41" s="147"/>
      <c r="AA41" s="178">
        <f>AA20+AA26+AA38</f>
        <v>0</v>
      </c>
      <c r="AB41" s="181"/>
      <c r="AC41" s="182">
        <f>AA41/12</f>
        <v>0</v>
      </c>
    </row>
    <row r="42" spans="1:29" ht="16" thickTop="1" x14ac:dyDescent="0.35">
      <c r="B42" s="183"/>
      <c r="C42" s="143"/>
      <c r="D42" s="144"/>
      <c r="E42" s="145"/>
      <c r="F42" s="184"/>
      <c r="G42" s="185"/>
      <c r="H42" s="143"/>
      <c r="I42" s="143"/>
      <c r="J42" s="144"/>
      <c r="K42" s="145"/>
      <c r="L42" s="184"/>
      <c r="M42" s="147"/>
      <c r="N42" s="148"/>
      <c r="O42" s="148"/>
      <c r="P42" s="147"/>
      <c r="Q42" s="184"/>
      <c r="R42" s="147"/>
      <c r="S42" s="148"/>
      <c r="T42" s="143"/>
      <c r="U42" s="144"/>
      <c r="V42" s="145"/>
      <c r="W42" s="184"/>
      <c r="X42" s="147"/>
      <c r="Y42" s="147"/>
      <c r="Z42" s="147"/>
      <c r="AA42" s="184"/>
      <c r="AB42" s="147"/>
      <c r="AC42" s="147"/>
    </row>
    <row r="43" spans="1:29" ht="32.25" hidden="1" customHeight="1" x14ac:dyDescent="0.35">
      <c r="B43" s="186" t="s">
        <v>49</v>
      </c>
      <c r="C43" s="143"/>
      <c r="D43" s="144"/>
      <c r="E43" s="145"/>
      <c r="F43" s="187"/>
      <c r="G43" s="147"/>
      <c r="H43" s="143"/>
      <c r="I43" s="143"/>
      <c r="J43" s="144"/>
      <c r="K43" s="145"/>
      <c r="L43" s="147"/>
      <c r="M43" s="147"/>
      <c r="N43" s="148"/>
      <c r="O43" s="148"/>
      <c r="P43" s="147"/>
      <c r="Q43" s="147"/>
      <c r="R43" s="147"/>
      <c r="S43" s="148"/>
      <c r="T43" s="143"/>
      <c r="U43" s="144"/>
      <c r="V43" s="145"/>
      <c r="W43" s="147"/>
      <c r="X43" s="147"/>
      <c r="Y43" s="147"/>
      <c r="Z43" s="147"/>
      <c r="AA43" s="147"/>
      <c r="AB43" s="147"/>
      <c r="AC43" s="147"/>
    </row>
    <row r="44" spans="1:29" x14ac:dyDescent="0.35">
      <c r="C44" s="143"/>
      <c r="D44" s="144"/>
      <c r="E44" s="145"/>
      <c r="F44" s="147"/>
      <c r="G44" s="147"/>
      <c r="H44" s="143"/>
      <c r="I44" s="143"/>
      <c r="J44" s="144"/>
      <c r="K44" s="145"/>
      <c r="L44" s="147"/>
      <c r="M44" s="147"/>
      <c r="N44" s="148"/>
      <c r="O44" s="148"/>
      <c r="P44" s="147"/>
      <c r="Q44" s="147"/>
      <c r="R44" s="147"/>
      <c r="S44" s="148"/>
      <c r="T44" s="143"/>
      <c r="U44" s="144"/>
      <c r="V44" s="145"/>
      <c r="W44" s="147"/>
      <c r="X44" s="147"/>
      <c r="Y44" s="147"/>
      <c r="Z44" s="147"/>
      <c r="AA44" s="147"/>
      <c r="AB44" s="147"/>
      <c r="AC44" s="147"/>
    </row>
    <row r="45" spans="1:29" ht="27" customHeight="1" x14ac:dyDescent="0.35">
      <c r="B45" s="188" t="s">
        <v>50</v>
      </c>
      <c r="C45" s="189"/>
      <c r="D45" s="190"/>
      <c r="E45" s="191"/>
      <c r="F45" s="173"/>
      <c r="G45" s="173"/>
      <c r="H45" s="189"/>
      <c r="I45" s="189"/>
      <c r="J45" s="190"/>
      <c r="K45" s="191"/>
      <c r="L45" s="173"/>
      <c r="M45" s="147"/>
      <c r="N45" s="192"/>
      <c r="O45" s="192"/>
      <c r="P45" s="147"/>
      <c r="Q45" s="173"/>
      <c r="R45" s="147"/>
      <c r="S45" s="192"/>
      <c r="T45" s="189"/>
      <c r="U45" s="190"/>
      <c r="V45" s="191"/>
      <c r="W45" s="173"/>
      <c r="X45" s="147"/>
      <c r="Y45" s="193"/>
      <c r="Z45" s="147"/>
      <c r="AA45" s="173"/>
      <c r="AB45" s="147"/>
      <c r="AC45" s="193"/>
    </row>
    <row r="46" spans="1:29" ht="27" customHeight="1" x14ac:dyDescent="0.35">
      <c r="A46" s="32" t="s">
        <v>51</v>
      </c>
      <c r="B46" s="130" t="s">
        <v>52</v>
      </c>
      <c r="C46" s="143"/>
      <c r="D46" s="144"/>
      <c r="E46" s="145"/>
      <c r="F46" s="197"/>
      <c r="G46" s="147"/>
      <c r="H46" s="143"/>
      <c r="I46" s="143"/>
      <c r="J46" s="144"/>
      <c r="K46" s="145"/>
      <c r="L46" s="200"/>
      <c r="M46" s="147"/>
      <c r="N46" s="148"/>
      <c r="O46" s="148"/>
      <c r="P46" s="147"/>
      <c r="Q46" s="200"/>
      <c r="R46" s="147"/>
      <c r="S46" s="148"/>
      <c r="T46" s="143"/>
      <c r="U46" s="144"/>
      <c r="V46" s="145"/>
      <c r="W46" s="197"/>
      <c r="X46" s="147"/>
      <c r="Y46" s="147"/>
      <c r="Z46" s="147"/>
      <c r="AA46" s="197"/>
      <c r="AB46" s="147"/>
      <c r="AC46" s="147"/>
    </row>
    <row r="47" spans="1:29" ht="27" customHeight="1" x14ac:dyDescent="0.35">
      <c r="A47" s="32" t="s">
        <v>53</v>
      </c>
      <c r="B47" s="130" t="s">
        <v>54</v>
      </c>
      <c r="C47" s="143"/>
      <c r="D47" s="144"/>
      <c r="E47" s="145"/>
      <c r="F47" s="197"/>
      <c r="G47" s="194"/>
      <c r="H47" s="143"/>
      <c r="I47" s="143"/>
      <c r="J47" s="144"/>
      <c r="K47" s="145"/>
      <c r="L47" s="197"/>
      <c r="M47" s="147"/>
      <c r="N47" s="148"/>
      <c r="O47" s="148"/>
      <c r="P47" s="147"/>
      <c r="Q47" s="197"/>
      <c r="R47" s="147"/>
      <c r="S47" s="148"/>
      <c r="T47" s="143"/>
      <c r="U47" s="144"/>
      <c r="V47" s="145"/>
      <c r="W47" s="197"/>
      <c r="X47" s="147"/>
      <c r="Y47" s="147"/>
      <c r="Z47" s="147"/>
      <c r="AA47" s="197"/>
      <c r="AB47" s="147"/>
      <c r="AC47" s="147"/>
    </row>
    <row r="48" spans="1:29" ht="27" customHeight="1" x14ac:dyDescent="0.35">
      <c r="A48" s="32" t="s">
        <v>55</v>
      </c>
      <c r="B48" s="130" t="s">
        <v>56</v>
      </c>
      <c r="C48" s="143"/>
      <c r="D48" s="144"/>
      <c r="E48" s="145"/>
      <c r="F48" s="197"/>
      <c r="G48" s="174"/>
      <c r="H48" s="143"/>
      <c r="I48" s="143"/>
      <c r="J48" s="144"/>
      <c r="K48" s="145"/>
      <c r="L48" s="197"/>
      <c r="M48" s="147"/>
      <c r="N48" s="148"/>
      <c r="O48" s="148"/>
      <c r="P48" s="147"/>
      <c r="Q48" s="197"/>
      <c r="R48" s="147"/>
      <c r="S48" s="148"/>
      <c r="T48" s="143"/>
      <c r="U48" s="144"/>
      <c r="V48" s="145"/>
      <c r="W48" s="197"/>
      <c r="X48" s="147"/>
      <c r="Y48" s="147"/>
      <c r="Z48" s="147"/>
      <c r="AA48" s="197"/>
      <c r="AB48" s="147"/>
      <c r="AC48" s="147"/>
    </row>
    <row r="49" spans="1:29" ht="27" customHeight="1" x14ac:dyDescent="0.35">
      <c r="A49" s="32" t="s">
        <v>57</v>
      </c>
      <c r="B49" s="130" t="s">
        <v>58</v>
      </c>
      <c r="C49" s="174"/>
      <c r="D49" s="144"/>
      <c r="E49" s="145"/>
      <c r="F49" s="199"/>
      <c r="G49" s="174"/>
      <c r="H49" s="174"/>
      <c r="I49" s="174"/>
      <c r="J49" s="144"/>
      <c r="K49" s="145"/>
      <c r="L49" s="199"/>
      <c r="M49" s="174"/>
      <c r="N49" s="174"/>
      <c r="O49" s="174"/>
      <c r="P49" s="174"/>
      <c r="Q49" s="199"/>
      <c r="R49" s="147"/>
      <c r="S49" s="148"/>
      <c r="T49" s="174"/>
      <c r="U49" s="144"/>
      <c r="V49" s="145"/>
      <c r="W49" s="197"/>
      <c r="X49" s="147"/>
      <c r="Y49" s="147"/>
      <c r="Z49" s="147"/>
      <c r="AA49" s="197"/>
      <c r="AB49" s="147"/>
      <c r="AC49" s="147"/>
    </row>
    <row r="50" spans="1:29" ht="27" customHeight="1" x14ac:dyDescent="0.35">
      <c r="A50" s="32" t="s">
        <v>59</v>
      </c>
      <c r="B50" s="130" t="s">
        <v>60</v>
      </c>
      <c r="C50" s="143"/>
      <c r="D50" s="144"/>
      <c r="E50" s="145"/>
      <c r="F50" s="197"/>
      <c r="G50" s="150"/>
      <c r="H50" s="143"/>
      <c r="I50" s="143"/>
      <c r="J50" s="144"/>
      <c r="K50" s="145"/>
      <c r="L50" s="197"/>
      <c r="M50" s="147"/>
      <c r="N50" s="148"/>
      <c r="O50" s="148"/>
      <c r="P50" s="147"/>
      <c r="Q50" s="197"/>
      <c r="R50" s="147"/>
      <c r="S50" s="148"/>
      <c r="T50" s="143"/>
      <c r="U50" s="144"/>
      <c r="V50" s="145"/>
      <c r="W50" s="197"/>
      <c r="X50" s="147"/>
      <c r="Y50" s="147"/>
      <c r="Z50" s="147"/>
      <c r="AA50" s="197"/>
      <c r="AB50" s="147"/>
      <c r="AC50" s="147"/>
    </row>
    <row r="51" spans="1:29" ht="14.5" customHeight="1" x14ac:dyDescent="0.35">
      <c r="B51" s="126"/>
      <c r="C51" s="174"/>
      <c r="D51" s="144"/>
      <c r="E51" s="145"/>
      <c r="F51" s="174"/>
      <c r="G51" s="174"/>
      <c r="H51" s="174"/>
      <c r="I51" s="174"/>
      <c r="J51" s="144"/>
      <c r="K51" s="145"/>
      <c r="L51" s="174"/>
      <c r="M51" s="174"/>
      <c r="N51" s="174"/>
      <c r="O51" s="174"/>
      <c r="P51" s="174"/>
      <c r="Q51" s="174"/>
      <c r="R51" s="147"/>
      <c r="S51" s="148"/>
      <c r="T51" s="174"/>
      <c r="U51" s="144"/>
      <c r="V51" s="145"/>
      <c r="W51" s="147"/>
      <c r="X51" s="147"/>
      <c r="Y51" s="147"/>
      <c r="Z51" s="147"/>
      <c r="AA51" s="147"/>
      <c r="AB51" s="147"/>
      <c r="AC51" s="147"/>
    </row>
    <row r="52" spans="1:29" ht="18" x14ac:dyDescent="0.35">
      <c r="B52" s="32" t="s">
        <v>61</v>
      </c>
      <c r="F52" s="199"/>
      <c r="L52" s="199"/>
      <c r="Q52" s="199"/>
      <c r="W52" s="197"/>
      <c r="AA52" s="197"/>
    </row>
    <row r="53" spans="1:29" ht="18" x14ac:dyDescent="0.35">
      <c r="B53" s="32" t="s">
        <v>104</v>
      </c>
      <c r="F53" s="199"/>
      <c r="L53" s="199"/>
      <c r="Q53" s="199"/>
      <c r="W53" s="199"/>
      <c r="AA53" s="199"/>
    </row>
  </sheetData>
  <pageMargins left="0.5" right="0.5" top="0.75" bottom="0.75" header="0.3" footer="0.3"/>
  <pageSetup scale="46" orientation="landscape" horizontalDpi="4294967293" verticalDpi="4294967293" r:id="rId1"/>
  <headerFooter>
    <oddHeader>&amp;C&amp;"Times New Roman,Regular"&amp;24 &amp;"Times New Roman,Bold" 2025&amp;"Times New Roman,Regular" Compensation Worksheet for Ministers
NO Parsonage - Housing Allowance Provided</oddHeader>
    <oddFooter xml:space="preserve">&amp;LPortico Benefit Services:  1-800-352-2876 (M-F)
https://porticobenefits.org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3EB9-0EF0-4443-B764-27CD6FECC380}">
  <sheetPr>
    <pageSetUpPr fitToPage="1"/>
  </sheetPr>
  <dimension ref="A2:AT54"/>
  <sheetViews>
    <sheetView topLeftCell="A2" zoomScale="60" zoomScaleNormal="60" zoomScalePageLayoutView="98" workbookViewId="0">
      <selection activeCell="AF9" sqref="AF9"/>
    </sheetView>
  </sheetViews>
  <sheetFormatPr defaultColWidth="9.1796875" defaultRowHeight="17.5" x14ac:dyDescent="0.35"/>
  <cols>
    <col min="1" max="1" width="9.1796875" style="32"/>
    <col min="2" max="2" width="49.26953125" style="33" customWidth="1"/>
    <col min="3" max="3" width="3.54296875" style="39" customWidth="1"/>
    <col min="4" max="4" width="19.54296875" style="33" customWidth="1"/>
    <col min="5" max="5" width="1.54296875" style="33" customWidth="1"/>
    <col min="6" max="6" width="12.1796875" style="55" customWidth="1"/>
    <col min="7" max="7" width="2.54296875" style="56" customWidth="1"/>
    <col min="8" max="8" width="1.81640625" style="263" customWidth="1"/>
    <col min="9" max="9" width="2.54296875" style="56" customWidth="1"/>
    <col min="10" max="10" width="19.54296875" style="33" customWidth="1"/>
    <col min="11" max="11" width="6.08984375" style="33" customWidth="1"/>
    <col min="12" max="12" width="10.453125" style="36" hidden="1" customWidth="1"/>
    <col min="13" max="13" width="11.1796875" style="37" customWidth="1"/>
    <col min="14" max="14" width="5.54296875" style="33" customWidth="1"/>
    <col min="15" max="15" width="19.54296875" style="33" customWidth="1"/>
    <col min="16" max="16" width="7" style="33" customWidth="1"/>
    <col min="17" max="17" width="11.1796875" style="37" customWidth="1"/>
    <col min="18" max="18" width="2.453125" style="37" customWidth="1"/>
    <col min="19" max="19" width="5.54296875" style="308" customWidth="1"/>
    <col min="20" max="20" width="1.7265625" style="33" customWidth="1"/>
    <col min="21" max="21" width="19.54296875" style="33" customWidth="1"/>
    <col min="22" max="22" width="6.08984375" style="33" customWidth="1"/>
    <col min="23" max="23" width="15.453125" style="38" customWidth="1"/>
    <col min="24" max="24" width="5.54296875" style="33" customWidth="1"/>
    <col min="25" max="25" width="19.54296875" style="33" customWidth="1"/>
    <col min="26" max="26" width="5.453125" style="33" customWidth="1"/>
    <col min="27" max="27" width="18.36328125" style="38" customWidth="1"/>
    <col min="28" max="28" width="2.81640625" style="308" customWidth="1"/>
    <col min="29" max="29" width="19.54296875" style="33" customWidth="1"/>
    <col min="30" max="30" width="6.6328125" style="33" customWidth="1"/>
    <col min="31" max="31" width="22.6328125" style="38" customWidth="1"/>
    <col min="32" max="16384" width="9.1796875" style="33"/>
  </cols>
  <sheetData>
    <row r="2" spans="1:46" ht="105" customHeight="1" x14ac:dyDescent="0.45">
      <c r="B2" s="401" t="s">
        <v>140</v>
      </c>
      <c r="C2" s="401"/>
      <c r="D2" s="401"/>
      <c r="F2" s="34"/>
      <c r="G2" s="35"/>
      <c r="I2" s="35"/>
      <c r="J2" s="402" t="s">
        <v>151</v>
      </c>
      <c r="K2" s="402"/>
      <c r="L2" s="402"/>
      <c r="M2" s="402"/>
      <c r="N2" s="402"/>
      <c r="O2" s="402"/>
      <c r="P2" s="402"/>
      <c r="Q2" s="402"/>
      <c r="U2" s="402" t="s">
        <v>152</v>
      </c>
      <c r="V2" s="402"/>
      <c r="W2" s="402"/>
      <c r="Y2" s="402" t="s">
        <v>153</v>
      </c>
      <c r="Z2" s="402"/>
      <c r="AA2" s="402"/>
      <c r="AC2" s="402" t="s">
        <v>154</v>
      </c>
      <c r="AD2" s="402"/>
      <c r="AE2" s="402"/>
      <c r="AF2" s="70"/>
    </row>
    <row r="3" spans="1:46" x14ac:dyDescent="0.35">
      <c r="A3" s="33"/>
      <c r="F3" s="40"/>
      <c r="G3" s="41"/>
      <c r="I3" s="41"/>
      <c r="M3" s="38"/>
      <c r="Q3" s="38"/>
      <c r="R3" s="38"/>
      <c r="W3" s="33"/>
    </row>
    <row r="4" spans="1:46" ht="20.25" customHeight="1" x14ac:dyDescent="0.45">
      <c r="A4" s="42"/>
      <c r="B4" s="126" t="s">
        <v>10</v>
      </c>
      <c r="C4" s="42"/>
      <c r="D4" s="195"/>
      <c r="E4" s="107"/>
      <c r="F4" s="317"/>
      <c r="G4" s="318"/>
      <c r="H4" s="324"/>
      <c r="I4" s="318"/>
      <c r="J4" s="195">
        <v>2008</v>
      </c>
      <c r="K4" s="107"/>
      <c r="L4" s="107"/>
      <c r="M4" s="44"/>
      <c r="N4" s="319"/>
      <c r="O4" s="195">
        <v>2008</v>
      </c>
      <c r="P4" s="107"/>
      <c r="Q4" s="44"/>
      <c r="R4" s="44"/>
      <c r="S4" s="322"/>
      <c r="T4" s="319"/>
      <c r="U4" s="320">
        <v>2020</v>
      </c>
      <c r="V4" s="107"/>
      <c r="W4" s="44"/>
      <c r="X4" s="319"/>
      <c r="Y4" s="321">
        <v>2015</v>
      </c>
      <c r="Z4" s="107"/>
      <c r="AA4" s="44"/>
      <c r="AB4" s="322"/>
      <c r="AC4" s="323">
        <v>2015</v>
      </c>
      <c r="AD4" s="107"/>
      <c r="AE4" s="44"/>
    </row>
    <row r="5" spans="1:46" ht="20.25" customHeight="1" x14ac:dyDescent="0.45">
      <c r="A5" s="42"/>
      <c r="B5" s="126" t="s">
        <v>11</v>
      </c>
      <c r="C5" s="42"/>
      <c r="D5" s="338"/>
      <c r="E5" s="107"/>
      <c r="F5" s="317"/>
      <c r="G5" s="318"/>
      <c r="H5" s="324"/>
      <c r="I5" s="318"/>
      <c r="J5" s="338">
        <v>0.5</v>
      </c>
      <c r="K5" s="107"/>
      <c r="L5" s="107"/>
      <c r="M5" s="44"/>
      <c r="N5" s="319"/>
      <c r="O5" s="338">
        <v>0.5</v>
      </c>
      <c r="P5" s="107"/>
      <c r="Q5" s="44"/>
      <c r="R5" s="44"/>
      <c r="S5" s="322"/>
      <c r="T5" s="319"/>
      <c r="U5" s="355" t="s">
        <v>90</v>
      </c>
      <c r="V5" s="107"/>
      <c r="W5" s="44"/>
      <c r="X5" s="319"/>
      <c r="Y5" s="353">
        <v>0.5</v>
      </c>
      <c r="Z5" s="107"/>
      <c r="AA5" s="44"/>
      <c r="AB5" s="322"/>
      <c r="AC5" s="355" t="s">
        <v>157</v>
      </c>
      <c r="AD5" s="107"/>
      <c r="AE5" s="44"/>
    </row>
    <row r="6" spans="1:46" ht="20.25" customHeight="1" x14ac:dyDescent="0.4">
      <c r="A6" s="42"/>
      <c r="B6" s="126" t="s">
        <v>133</v>
      </c>
      <c r="C6" s="42"/>
      <c r="D6" s="307"/>
      <c r="E6" s="107"/>
      <c r="F6" s="317"/>
      <c r="G6" s="318"/>
      <c r="H6" s="324"/>
      <c r="I6" s="318"/>
      <c r="J6" s="307"/>
      <c r="K6" s="107"/>
      <c r="L6" s="107"/>
      <c r="M6" s="44"/>
      <c r="N6" s="319"/>
      <c r="O6" s="307"/>
      <c r="P6" s="107"/>
      <c r="Q6" s="44"/>
      <c r="R6" s="44"/>
      <c r="S6" s="322"/>
      <c r="T6" s="319"/>
      <c r="U6" s="307"/>
      <c r="V6" s="107"/>
      <c r="W6" s="44"/>
      <c r="X6" s="319"/>
      <c r="Y6" s="307"/>
      <c r="Z6" s="107"/>
      <c r="AA6" s="44"/>
      <c r="AB6" s="322"/>
      <c r="AC6" s="307">
        <v>0.5</v>
      </c>
      <c r="AD6" s="107"/>
      <c r="AE6" s="44"/>
    </row>
    <row r="7" spans="1:46" ht="20.25" customHeight="1" x14ac:dyDescent="0.45">
      <c r="A7" s="42"/>
      <c r="B7" s="126" t="s">
        <v>136</v>
      </c>
      <c r="C7" s="42"/>
      <c r="D7" s="345"/>
      <c r="E7" s="107"/>
      <c r="F7" s="325">
        <f>IF(D7&gt;0,D7,1)</f>
        <v>1</v>
      </c>
      <c r="G7" s="326"/>
      <c r="H7" s="324"/>
      <c r="I7" s="326"/>
      <c r="J7" s="345"/>
      <c r="K7" s="327"/>
      <c r="L7" s="107"/>
      <c r="M7" s="44"/>
      <c r="N7" s="319"/>
      <c r="O7" s="345"/>
      <c r="P7" s="327"/>
      <c r="Q7" s="44"/>
      <c r="R7" s="44"/>
      <c r="S7" s="322"/>
      <c r="T7" s="319"/>
      <c r="U7" s="345"/>
      <c r="V7" s="327"/>
      <c r="W7" s="44"/>
      <c r="X7" s="319"/>
      <c r="Y7" s="345"/>
      <c r="Z7" s="327"/>
      <c r="AA7" s="44"/>
      <c r="AB7" s="322"/>
      <c r="AC7" s="345">
        <v>0.12</v>
      </c>
      <c r="AD7" s="327"/>
      <c r="AE7" s="44"/>
    </row>
    <row r="8" spans="1:46" ht="20.25" customHeight="1" x14ac:dyDescent="0.45">
      <c r="A8" s="42"/>
      <c r="B8" s="126"/>
      <c r="C8" s="42"/>
      <c r="D8" s="346"/>
      <c r="E8" s="107"/>
      <c r="F8" s="325"/>
      <c r="G8" s="326"/>
      <c r="H8" s="324"/>
      <c r="I8" s="326"/>
      <c r="J8" s="347"/>
      <c r="K8" s="327"/>
      <c r="L8" s="107"/>
      <c r="M8" s="44"/>
      <c r="N8" s="319"/>
      <c r="O8" s="347"/>
      <c r="P8" s="327"/>
      <c r="Q8" s="44"/>
      <c r="R8" s="44"/>
      <c r="S8" s="322"/>
      <c r="T8" s="319"/>
      <c r="U8" s="346"/>
      <c r="V8" s="327"/>
      <c r="W8" s="44"/>
      <c r="X8" s="319"/>
      <c r="Y8" s="346"/>
      <c r="Z8" s="327"/>
      <c r="AA8" s="44"/>
      <c r="AB8" s="322"/>
      <c r="AC8" s="346"/>
      <c r="AD8" s="327"/>
      <c r="AE8" s="44"/>
    </row>
    <row r="9" spans="1:46" ht="50" x14ac:dyDescent="0.5">
      <c r="C9" s="45"/>
      <c r="D9" s="46" t="s">
        <v>12</v>
      </c>
      <c r="E9" s="47"/>
      <c r="F9" s="48" t="s">
        <v>13</v>
      </c>
      <c r="G9" s="49"/>
      <c r="I9" s="49"/>
      <c r="J9" s="46" t="s">
        <v>91</v>
      </c>
      <c r="L9" s="50" t="s">
        <v>15</v>
      </c>
      <c r="M9" s="51" t="s">
        <v>16</v>
      </c>
      <c r="O9" s="46" t="s">
        <v>92</v>
      </c>
      <c r="Q9" s="51" t="s">
        <v>18</v>
      </c>
      <c r="R9" s="52"/>
      <c r="U9" s="46" t="s">
        <v>93</v>
      </c>
      <c r="W9" s="53" t="s">
        <v>94</v>
      </c>
      <c r="Y9" s="46" t="s">
        <v>95</v>
      </c>
      <c r="AA9" s="53" t="s">
        <v>96</v>
      </c>
      <c r="AC9" s="46" t="s">
        <v>134</v>
      </c>
      <c r="AE9" s="53" t="s">
        <v>135</v>
      </c>
    </row>
    <row r="10" spans="1:46" ht="30" customHeight="1" x14ac:dyDescent="0.4">
      <c r="B10" s="54" t="s">
        <v>22</v>
      </c>
    </row>
    <row r="11" spans="1:46" ht="24" customHeight="1" x14ac:dyDescent="0.5">
      <c r="A11" s="32" t="s">
        <v>23</v>
      </c>
      <c r="B11" s="43" t="s">
        <v>24</v>
      </c>
      <c r="C11" s="57"/>
      <c r="D11" s="112"/>
      <c r="E11" s="58"/>
      <c r="F11" s="59">
        <f>D11/12</f>
        <v>0</v>
      </c>
      <c r="G11" s="60"/>
      <c r="H11" s="330"/>
      <c r="I11" s="60"/>
      <c r="J11" s="115">
        <f>VLOOKUP($J$4,'2027 Minister Salary Table'!$B4:$E44,2,FALSE)*MIN(1,$K$6)</f>
        <v>61365.3092006886</v>
      </c>
      <c r="K11" s="61"/>
      <c r="L11" s="62">
        <f>J11-D11</f>
        <v>61365.3092006886</v>
      </c>
      <c r="M11" s="62">
        <f>J11/12</f>
        <v>5113.7757667240503</v>
      </c>
      <c r="N11" s="61"/>
      <c r="O11" s="115">
        <f>VLOOKUP($J$4,'2027 Minister Salary Table'!$B4:$E44,4,FALSE)*MIN(1,$K$6)</f>
        <v>63353.391805517902</v>
      </c>
      <c r="P11" s="61"/>
      <c r="Q11" s="62">
        <f>O11/12</f>
        <v>5279.4493171264921</v>
      </c>
      <c r="R11" s="62"/>
      <c r="S11" s="312"/>
      <c r="T11" s="61"/>
      <c r="U11" s="118">
        <f>VLOOKUP($U$4,'2027 Minister Salary Table'!$B4:$E44,2,FALSE)*MIN(1,U6)</f>
        <v>52360.812739246045</v>
      </c>
      <c r="V11" s="61"/>
      <c r="W11" s="61">
        <f>U11/12</f>
        <v>4363.4010616038368</v>
      </c>
      <c r="X11" s="61"/>
      <c r="Y11" s="119">
        <f>VLOOKUP($Y$4,'2027 Minister Salary Table'!$B4:$E44,4,FALSE)*MIN(1,Y6)</f>
        <v>58303.759896667631</v>
      </c>
      <c r="Z11" s="61"/>
      <c r="AA11" s="61">
        <f>Y11/12</f>
        <v>4858.6466580556362</v>
      </c>
      <c r="AC11" s="315">
        <f>VLOOKUP(AC4,'2027 Minister Salary Table'!$B4:$E44,2,FALSE)*AC6</f>
        <v>28151.651761256377</v>
      </c>
      <c r="AD11" s="61"/>
      <c r="AE11" s="61">
        <f>AC11/12</f>
        <v>2345.9709801046979</v>
      </c>
    </row>
    <row r="12" spans="1:46" ht="6" customHeight="1" x14ac:dyDescent="0.4">
      <c r="B12" s="63"/>
      <c r="C12" s="57"/>
      <c r="D12" s="64"/>
      <c r="E12" s="64"/>
      <c r="F12" s="59"/>
      <c r="G12" s="60"/>
      <c r="H12" s="330"/>
      <c r="I12" s="60"/>
      <c r="J12" s="64"/>
      <c r="K12" s="61"/>
      <c r="L12" s="62"/>
      <c r="M12" s="62"/>
      <c r="N12" s="61"/>
      <c r="O12" s="64"/>
      <c r="P12" s="61"/>
      <c r="Q12" s="62"/>
      <c r="R12" s="62"/>
      <c r="S12" s="312"/>
      <c r="T12" s="61"/>
      <c r="U12" s="64"/>
      <c r="V12" s="61"/>
      <c r="W12" s="61"/>
      <c r="X12" s="61"/>
      <c r="Y12" s="64"/>
      <c r="Z12" s="61"/>
      <c r="AA12" s="61"/>
      <c r="AC12" s="64"/>
      <c r="AD12" s="61"/>
      <c r="AE12" s="61"/>
    </row>
    <row r="13" spans="1:46" ht="24" customHeight="1" x14ac:dyDescent="0.4">
      <c r="A13" s="32" t="s">
        <v>25</v>
      </c>
      <c r="B13" s="43" t="s">
        <v>97</v>
      </c>
      <c r="C13" s="57"/>
      <c r="D13" s="113"/>
      <c r="E13" s="64"/>
      <c r="F13" s="59">
        <f>D13/12</f>
        <v>0</v>
      </c>
      <c r="G13" s="60"/>
      <c r="H13" s="330"/>
      <c r="I13" s="60"/>
      <c r="J13" s="116">
        <f>J11*$J5</f>
        <v>30682.6546003443</v>
      </c>
      <c r="K13" s="61"/>
      <c r="L13" s="62">
        <f>J13-D13</f>
        <v>30682.6546003443</v>
      </c>
      <c r="M13" s="62">
        <f>J13/12</f>
        <v>2556.8878833620251</v>
      </c>
      <c r="N13" s="61"/>
      <c r="O13" s="116">
        <f>O11*$J5</f>
        <v>31676.695902758951</v>
      </c>
      <c r="P13" s="61"/>
      <c r="Q13" s="62">
        <f>O13/12</f>
        <v>2639.7246585632461</v>
      </c>
      <c r="R13" s="62"/>
      <c r="S13" s="312"/>
      <c r="T13" s="61"/>
      <c r="U13" s="354">
        <v>18000</v>
      </c>
      <c r="V13" s="61"/>
      <c r="W13" s="61">
        <f>U13/12</f>
        <v>1500</v>
      </c>
      <c r="X13" s="61"/>
      <c r="Y13" s="116">
        <f>Y11*$Y5</f>
        <v>29151.879948333815</v>
      </c>
      <c r="Z13" s="61"/>
      <c r="AA13" s="61">
        <f>Y13/12</f>
        <v>2429.3233290278181</v>
      </c>
      <c r="AC13" s="354">
        <f>1250*12</f>
        <v>15000</v>
      </c>
      <c r="AD13" s="61"/>
      <c r="AE13" s="61">
        <f>AC13/12</f>
        <v>1250</v>
      </c>
    </row>
    <row r="14" spans="1:46" ht="16.5" customHeight="1" x14ac:dyDescent="0.45">
      <c r="B14" s="66" t="s">
        <v>26</v>
      </c>
      <c r="C14" s="67"/>
      <c r="D14" s="68"/>
      <c r="E14" s="69"/>
      <c r="F14" s="59"/>
      <c r="G14" s="60"/>
      <c r="H14" s="330"/>
      <c r="I14" s="60"/>
      <c r="J14" s="69"/>
      <c r="K14" s="61"/>
      <c r="L14" s="62"/>
      <c r="M14" s="62"/>
      <c r="N14" s="61"/>
      <c r="O14" s="69"/>
      <c r="P14" s="61"/>
      <c r="Q14" s="62"/>
      <c r="R14" s="62"/>
      <c r="S14" s="312"/>
      <c r="T14" s="61"/>
      <c r="U14" s="69"/>
      <c r="V14" s="61"/>
      <c r="W14" s="61"/>
      <c r="X14" s="61"/>
      <c r="Y14" s="69"/>
      <c r="Z14" s="61"/>
      <c r="AA14" s="61"/>
      <c r="AC14" s="69"/>
      <c r="AD14" s="61"/>
      <c r="AE14" s="61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</row>
    <row r="15" spans="1:46" ht="6" customHeight="1" x14ac:dyDescent="0.35">
      <c r="B15" s="66"/>
      <c r="C15" s="67"/>
      <c r="D15" s="68"/>
      <c r="E15" s="69"/>
      <c r="F15" s="59"/>
      <c r="G15" s="60"/>
      <c r="H15" s="330"/>
      <c r="I15" s="60"/>
      <c r="J15" s="69"/>
      <c r="K15" s="61"/>
      <c r="L15" s="62"/>
      <c r="M15" s="62"/>
      <c r="N15" s="61"/>
      <c r="O15" s="69"/>
      <c r="P15" s="61"/>
      <c r="Q15" s="62"/>
      <c r="R15" s="62"/>
      <c r="S15" s="312"/>
      <c r="T15" s="61"/>
      <c r="U15" s="69"/>
      <c r="V15" s="61"/>
      <c r="W15" s="61"/>
      <c r="X15" s="61"/>
      <c r="Y15" s="69"/>
      <c r="Z15" s="61"/>
      <c r="AA15" s="61"/>
      <c r="AC15" s="69"/>
      <c r="AD15" s="61"/>
      <c r="AE15" s="61"/>
    </row>
    <row r="16" spans="1:46" ht="24" customHeight="1" x14ac:dyDescent="0.4">
      <c r="A16" s="32" t="s">
        <v>27</v>
      </c>
      <c r="B16" s="43" t="s">
        <v>28</v>
      </c>
      <c r="C16" s="67"/>
      <c r="D16" s="113">
        <v>0</v>
      </c>
      <c r="E16" s="69"/>
      <c r="F16" s="59">
        <f>D16/12</f>
        <v>0</v>
      </c>
      <c r="G16" s="60"/>
      <c r="H16" s="330"/>
      <c r="I16" s="60"/>
      <c r="J16" s="113"/>
      <c r="K16" s="61"/>
      <c r="L16" s="62"/>
      <c r="M16" s="62">
        <f>J16/12</f>
        <v>0</v>
      </c>
      <c r="N16" s="61"/>
      <c r="O16" s="65">
        <v>0</v>
      </c>
      <c r="P16" s="61"/>
      <c r="Q16" s="62">
        <f>O16/12</f>
        <v>0</v>
      </c>
      <c r="R16" s="62"/>
      <c r="S16" s="312"/>
      <c r="T16" s="61"/>
      <c r="U16" s="113"/>
      <c r="V16" s="61"/>
      <c r="W16" s="61">
        <f>U16/12</f>
        <v>0</v>
      </c>
      <c r="X16" s="61"/>
      <c r="Y16" s="243">
        <v>2000</v>
      </c>
      <c r="Z16" s="61"/>
      <c r="AA16" s="61">
        <f>Y16/12</f>
        <v>166.66666666666666</v>
      </c>
      <c r="AC16" s="243"/>
      <c r="AD16" s="61"/>
      <c r="AE16" s="61">
        <f>AC16/12</f>
        <v>0</v>
      </c>
    </row>
    <row r="17" spans="1:31" ht="6" customHeight="1" x14ac:dyDescent="0.35">
      <c r="C17" s="67"/>
      <c r="D17" s="68"/>
      <c r="E17" s="69"/>
      <c r="F17" s="59"/>
      <c r="G17" s="60"/>
      <c r="H17" s="330"/>
      <c r="I17" s="60"/>
      <c r="J17" s="69"/>
      <c r="K17" s="61"/>
      <c r="L17" s="62"/>
      <c r="M17" s="62"/>
      <c r="N17" s="61"/>
      <c r="O17" s="69"/>
      <c r="P17" s="61"/>
      <c r="Q17" s="62"/>
      <c r="R17" s="62"/>
      <c r="S17" s="312"/>
      <c r="T17" s="61"/>
      <c r="U17" s="69"/>
      <c r="V17" s="61"/>
      <c r="W17" s="61"/>
      <c r="X17" s="61"/>
      <c r="Y17" s="69"/>
      <c r="Z17" s="61"/>
      <c r="AA17" s="61"/>
      <c r="AC17" s="69"/>
      <c r="AD17" s="61"/>
      <c r="AE17" s="61"/>
    </row>
    <row r="18" spans="1:31" ht="24" customHeight="1" x14ac:dyDescent="0.4">
      <c r="A18" s="32" t="s">
        <v>29</v>
      </c>
      <c r="B18" s="43" t="s">
        <v>30</v>
      </c>
      <c r="C18" s="57"/>
      <c r="D18" s="64">
        <f>(D11+D13+D16)*7.65%</f>
        <v>0</v>
      </c>
      <c r="E18" s="64"/>
      <c r="F18" s="59">
        <f>D18/12</f>
        <v>0</v>
      </c>
      <c r="G18" s="60"/>
      <c r="H18" s="330"/>
      <c r="I18" s="60"/>
      <c r="J18" s="64">
        <f>(J11+J13+J16)*7.65%</f>
        <v>7041.6692307790163</v>
      </c>
      <c r="K18" s="61"/>
      <c r="L18" s="62">
        <f>J18-D18</f>
        <v>7041.6692307790163</v>
      </c>
      <c r="M18" s="62">
        <f>J18/12</f>
        <v>586.80576923158469</v>
      </c>
      <c r="N18" s="61"/>
      <c r="O18" s="64">
        <f>(O11+O13+O16)*7.65%</f>
        <v>7269.8017096831791</v>
      </c>
      <c r="P18" s="61"/>
      <c r="Q18" s="62">
        <f>O18/12</f>
        <v>605.81680914026492</v>
      </c>
      <c r="R18" s="62"/>
      <c r="S18" s="312"/>
      <c r="T18" s="61"/>
      <c r="U18" s="64">
        <f>(U11+U13+U16)*7.65%</f>
        <v>5382.6021745523221</v>
      </c>
      <c r="V18" s="61"/>
      <c r="W18" s="61">
        <f>U18/12</f>
        <v>448.55018121269353</v>
      </c>
      <c r="X18" s="61"/>
      <c r="Y18" s="64">
        <f>(Y11+Y13+Y16)*7.65%</f>
        <v>6843.356448142611</v>
      </c>
      <c r="Z18" s="61"/>
      <c r="AA18" s="61">
        <f>Y18/12</f>
        <v>570.27970401188429</v>
      </c>
      <c r="AC18" s="64">
        <f>(AC11+AC13+AC16)*7.65%</f>
        <v>3301.101359736113</v>
      </c>
      <c r="AD18" s="61"/>
      <c r="AE18" s="61">
        <f>AC18/12</f>
        <v>275.09177997800941</v>
      </c>
    </row>
    <row r="19" spans="1:31" s="76" customFormat="1" ht="18" x14ac:dyDescent="0.4">
      <c r="A19" s="32"/>
      <c r="B19" s="71" t="s">
        <v>31</v>
      </c>
      <c r="C19" s="57"/>
      <c r="D19" s="72"/>
      <c r="E19" s="72"/>
      <c r="F19" s="73"/>
      <c r="G19" s="60"/>
      <c r="H19" s="330"/>
      <c r="I19" s="60"/>
      <c r="J19" s="72"/>
      <c r="K19" s="74"/>
      <c r="L19" s="75"/>
      <c r="M19" s="75"/>
      <c r="N19" s="74"/>
      <c r="O19" s="72"/>
      <c r="P19" s="74"/>
      <c r="Q19" s="75"/>
      <c r="R19" s="75"/>
      <c r="S19" s="350"/>
      <c r="T19" s="74"/>
      <c r="U19" s="72"/>
      <c r="V19" s="74"/>
      <c r="W19" s="74"/>
      <c r="X19" s="74"/>
      <c r="Y19" s="72"/>
      <c r="Z19" s="74"/>
      <c r="AA19" s="74"/>
      <c r="AB19" s="309"/>
      <c r="AC19" s="72"/>
      <c r="AD19" s="74"/>
      <c r="AE19" s="74"/>
    </row>
    <row r="20" spans="1:31" s="83" customFormat="1" ht="36" x14ac:dyDescent="0.45">
      <c r="A20" s="33" t="s">
        <v>32</v>
      </c>
      <c r="B20" s="77" t="s">
        <v>33</v>
      </c>
      <c r="C20" s="63"/>
      <c r="D20" s="328">
        <f>SUM(D11:D19)</f>
        <v>0</v>
      </c>
      <c r="E20" s="78"/>
      <c r="F20" s="79">
        <f>D20/12</f>
        <v>0</v>
      </c>
      <c r="G20" s="60"/>
      <c r="H20" s="330"/>
      <c r="I20" s="60"/>
      <c r="J20" s="328">
        <f>SUM(J11:J19)</f>
        <v>99089.633031811914</v>
      </c>
      <c r="K20" s="80"/>
      <c r="L20" s="81">
        <f>J20-D20</f>
        <v>99089.633031811914</v>
      </c>
      <c r="M20" s="81">
        <f>J20/12</f>
        <v>8257.4694193176601</v>
      </c>
      <c r="N20" s="80"/>
      <c r="O20" s="328">
        <f>SUM(O11:O19)</f>
        <v>102299.88941796003</v>
      </c>
      <c r="P20" s="80"/>
      <c r="Q20" s="81">
        <f>O20/12</f>
        <v>8524.9907848300027</v>
      </c>
      <c r="R20" s="81"/>
      <c r="S20" s="351"/>
      <c r="T20" s="80"/>
      <c r="U20" s="328">
        <f>SUM(U11:U19)</f>
        <v>75743.414913798362</v>
      </c>
      <c r="V20" s="82"/>
      <c r="W20" s="80">
        <f>U20/12</f>
        <v>6311.9512428165299</v>
      </c>
      <c r="X20" s="80"/>
      <c r="Y20" s="328">
        <f>SUM(Y11:Y19)</f>
        <v>96298.996293144068</v>
      </c>
      <c r="Z20" s="82"/>
      <c r="AA20" s="80">
        <f>Y20/12</f>
        <v>8024.9163577620056</v>
      </c>
      <c r="AB20" s="310"/>
      <c r="AC20" s="328">
        <f>SUM(AC11:AC19)</f>
        <v>46452.753120992493</v>
      </c>
      <c r="AD20" s="82"/>
      <c r="AE20" s="80">
        <f>AC20/12</f>
        <v>3871.0627600827079</v>
      </c>
    </row>
    <row r="21" spans="1:31" ht="30" customHeight="1" x14ac:dyDescent="0.45">
      <c r="B21" s="43"/>
      <c r="C21" s="57"/>
      <c r="D21" s="84"/>
      <c r="E21" s="84"/>
      <c r="F21" s="59"/>
      <c r="G21" s="60"/>
      <c r="H21" s="330"/>
      <c r="I21" s="60"/>
      <c r="J21" s="84"/>
      <c r="K21" s="61"/>
      <c r="L21" s="62"/>
      <c r="M21" s="62"/>
      <c r="N21" s="61"/>
      <c r="O21" s="84"/>
      <c r="P21" s="61"/>
      <c r="Q21" s="62"/>
      <c r="R21" s="62"/>
      <c r="S21" s="312"/>
      <c r="T21" s="61"/>
      <c r="U21" s="84"/>
      <c r="V21" s="61"/>
      <c r="W21" s="61"/>
      <c r="X21" s="61"/>
      <c r="Y21" s="84"/>
      <c r="Z21" s="61"/>
      <c r="AA21" s="61"/>
      <c r="AC21" s="84"/>
      <c r="AD21" s="61"/>
      <c r="AE21" s="61"/>
    </row>
    <row r="22" spans="1:31" ht="30" customHeight="1" x14ac:dyDescent="0.45">
      <c r="B22" s="54" t="s">
        <v>34</v>
      </c>
      <c r="C22" s="57"/>
      <c r="D22" s="84"/>
      <c r="E22" s="84"/>
      <c r="F22" s="59"/>
      <c r="G22" s="60"/>
      <c r="H22" s="330"/>
      <c r="I22" s="60"/>
      <c r="J22" s="84"/>
      <c r="K22" s="61"/>
      <c r="L22" s="62"/>
      <c r="M22" s="62"/>
      <c r="N22" s="61"/>
      <c r="O22" s="84"/>
      <c r="P22" s="61"/>
      <c r="Q22" s="62"/>
      <c r="R22" s="62"/>
      <c r="S22" s="312"/>
      <c r="T22" s="61"/>
      <c r="U22" s="84"/>
      <c r="V22" s="61"/>
      <c r="W22" s="61"/>
      <c r="X22" s="61"/>
      <c r="Y22" s="84"/>
      <c r="Z22" s="61"/>
      <c r="AA22" s="61"/>
      <c r="AC22" s="84"/>
      <c r="AD22" s="61"/>
      <c r="AE22" s="61"/>
    </row>
    <row r="23" spans="1:31" ht="24" customHeight="1" x14ac:dyDescent="0.45">
      <c r="A23" s="32" t="s">
        <v>35</v>
      </c>
      <c r="B23" s="43" t="s">
        <v>36</v>
      </c>
      <c r="C23" s="57"/>
      <c r="D23" s="113"/>
      <c r="E23" s="84"/>
      <c r="F23" s="59"/>
      <c r="G23" s="60"/>
      <c r="H23" s="330"/>
      <c r="I23" s="60"/>
      <c r="J23" s="113"/>
      <c r="K23" s="61"/>
      <c r="L23" s="62"/>
      <c r="M23" s="62"/>
      <c r="N23" s="61"/>
      <c r="O23" s="113"/>
      <c r="P23" s="61"/>
      <c r="Q23" s="62"/>
      <c r="R23" s="62"/>
      <c r="S23" s="312"/>
      <c r="T23" s="61"/>
      <c r="U23" s="113"/>
      <c r="V23" s="61"/>
      <c r="W23" s="61">
        <f>U23/12</f>
        <v>0</v>
      </c>
      <c r="X23" s="61"/>
      <c r="Y23" s="113"/>
      <c r="Z23" s="61"/>
      <c r="AA23" s="61">
        <f>Y23/12</f>
        <v>0</v>
      </c>
      <c r="AC23" s="113"/>
      <c r="AD23" s="61"/>
      <c r="AE23" s="61">
        <f>AC23/12</f>
        <v>0</v>
      </c>
    </row>
    <row r="24" spans="1:31" ht="6" customHeight="1" x14ac:dyDescent="0.45">
      <c r="B24" s="43"/>
      <c r="C24" s="57"/>
      <c r="D24" s="84"/>
      <c r="E24" s="84"/>
      <c r="F24" s="59"/>
      <c r="G24" s="60"/>
      <c r="H24" s="330"/>
      <c r="I24" s="60"/>
      <c r="J24" s="84"/>
      <c r="K24" s="61"/>
      <c r="L24" s="62"/>
      <c r="M24" s="62"/>
      <c r="N24" s="61"/>
      <c r="O24" s="117"/>
      <c r="P24" s="61"/>
      <c r="Q24" s="62"/>
      <c r="R24" s="62"/>
      <c r="S24" s="312"/>
      <c r="T24" s="61"/>
      <c r="U24" s="84"/>
      <c r="V24" s="61"/>
      <c r="W24" s="61"/>
      <c r="X24" s="61"/>
      <c r="Y24" s="84"/>
      <c r="Z24" s="61"/>
      <c r="AA24" s="61"/>
      <c r="AC24" s="84"/>
      <c r="AD24" s="61"/>
      <c r="AE24" s="61"/>
    </row>
    <row r="25" spans="1:31" s="76" customFormat="1" ht="24" customHeight="1" x14ac:dyDescent="0.45">
      <c r="A25" s="32" t="s">
        <v>37</v>
      </c>
      <c r="B25" s="85" t="s">
        <v>38</v>
      </c>
      <c r="C25" s="57"/>
      <c r="D25" s="113"/>
      <c r="E25" s="86"/>
      <c r="F25" s="73"/>
      <c r="G25" s="60"/>
      <c r="H25" s="330"/>
      <c r="I25" s="60"/>
      <c r="J25" s="113"/>
      <c r="K25" s="74"/>
      <c r="L25" s="75"/>
      <c r="M25" s="75"/>
      <c r="N25" s="74"/>
      <c r="O25" s="113"/>
      <c r="P25" s="74"/>
      <c r="Q25" s="75"/>
      <c r="R25" s="75"/>
      <c r="S25" s="350"/>
      <c r="T25" s="74"/>
      <c r="U25" s="113"/>
      <c r="V25" s="61"/>
      <c r="W25" s="61">
        <f>U25/12</f>
        <v>0</v>
      </c>
      <c r="X25" s="74"/>
      <c r="Y25" s="113"/>
      <c r="Z25" s="61"/>
      <c r="AA25" s="61">
        <f>Y25/12</f>
        <v>0</v>
      </c>
      <c r="AB25" s="309"/>
      <c r="AC25" s="113"/>
      <c r="AD25" s="61"/>
      <c r="AE25" s="61">
        <f>AC25/12</f>
        <v>0</v>
      </c>
    </row>
    <row r="26" spans="1:31" s="83" customFormat="1" ht="22.5" x14ac:dyDescent="0.45">
      <c r="A26" s="33" t="s">
        <v>39</v>
      </c>
      <c r="B26" s="77" t="s">
        <v>40</v>
      </c>
      <c r="C26" s="63"/>
      <c r="D26" s="313">
        <f>SUM(D23:D25)</f>
        <v>0</v>
      </c>
      <c r="E26" s="78"/>
      <c r="F26" s="79">
        <f>D26/12</f>
        <v>0</v>
      </c>
      <c r="G26" s="60"/>
      <c r="H26" s="330"/>
      <c r="I26" s="60"/>
      <c r="J26" s="313">
        <f>SUM(J23:J25)</f>
        <v>0</v>
      </c>
      <c r="K26" s="80"/>
      <c r="L26" s="81">
        <f>J26-D26</f>
        <v>0</v>
      </c>
      <c r="M26" s="81">
        <f>J26/12</f>
        <v>0</v>
      </c>
      <c r="N26" s="80"/>
      <c r="O26" s="313">
        <f>SUM(O23:O25)</f>
        <v>0</v>
      </c>
      <c r="P26" s="80"/>
      <c r="Q26" s="81">
        <f>O26/12</f>
        <v>0</v>
      </c>
      <c r="R26" s="81"/>
      <c r="S26" s="351"/>
      <c r="T26" s="80"/>
      <c r="U26" s="313">
        <f>SUM(U23:U25)</f>
        <v>0</v>
      </c>
      <c r="V26" s="80"/>
      <c r="W26" s="80">
        <f>U26/12</f>
        <v>0</v>
      </c>
      <c r="X26" s="80"/>
      <c r="Y26" s="313">
        <f>SUM(Y23:Y25)</f>
        <v>0</v>
      </c>
      <c r="Z26" s="80"/>
      <c r="AA26" s="80">
        <f>Y26/12</f>
        <v>0</v>
      </c>
      <c r="AB26" s="310"/>
      <c r="AC26" s="313">
        <f>SUM(AC23:AC25)</f>
        <v>0</v>
      </c>
      <c r="AD26" s="80"/>
      <c r="AE26" s="80">
        <f>AC26/12</f>
        <v>0</v>
      </c>
    </row>
    <row r="27" spans="1:31" ht="30" customHeight="1" x14ac:dyDescent="0.45">
      <c r="B27" s="43"/>
      <c r="C27" s="57"/>
      <c r="D27" s="84"/>
      <c r="E27" s="84"/>
      <c r="F27" s="59"/>
      <c r="G27" s="60"/>
      <c r="H27" s="330"/>
      <c r="I27" s="60"/>
      <c r="J27" s="84"/>
      <c r="K27" s="61"/>
      <c r="L27" s="62"/>
      <c r="M27" s="62"/>
      <c r="N27" s="61"/>
      <c r="O27" s="84"/>
      <c r="P27" s="61"/>
      <c r="Q27" s="62"/>
      <c r="R27" s="62"/>
      <c r="S27" s="312"/>
      <c r="T27" s="61"/>
      <c r="U27" s="61"/>
      <c r="V27" s="61"/>
      <c r="W27" s="61"/>
      <c r="X27" s="61"/>
      <c r="Y27" s="61"/>
      <c r="Z27" s="61"/>
      <c r="AA27" s="61"/>
      <c r="AC27" s="61"/>
      <c r="AD27" s="61"/>
      <c r="AE27" s="61"/>
    </row>
    <row r="28" spans="1:31" ht="18.75" hidden="1" customHeight="1" x14ac:dyDescent="0.35">
      <c r="B28" s="38"/>
      <c r="C28" s="63"/>
      <c r="D28" s="61"/>
      <c r="E28" s="61"/>
      <c r="F28" s="59"/>
      <c r="G28" s="60"/>
      <c r="H28" s="330"/>
      <c r="I28" s="60"/>
      <c r="J28" s="61"/>
      <c r="K28" s="61"/>
      <c r="L28" s="62"/>
      <c r="M28" s="62"/>
      <c r="N28" s="61"/>
      <c r="O28" s="61"/>
      <c r="P28" s="61"/>
      <c r="Q28" s="62"/>
      <c r="R28" s="62"/>
      <c r="S28" s="312"/>
      <c r="T28" s="61"/>
      <c r="U28" s="61"/>
      <c r="V28" s="61"/>
      <c r="W28" s="61"/>
      <c r="X28" s="61"/>
      <c r="Y28" s="61"/>
      <c r="Z28" s="61"/>
      <c r="AA28" s="61"/>
      <c r="AC28" s="61"/>
      <c r="AD28" s="61"/>
      <c r="AE28" s="61"/>
    </row>
    <row r="29" spans="1:31" ht="30" customHeight="1" x14ac:dyDescent="0.4">
      <c r="B29" s="87" t="s">
        <v>41</v>
      </c>
      <c r="C29" s="88"/>
      <c r="D29" s="89"/>
      <c r="E29" s="89"/>
      <c r="F29" s="59"/>
      <c r="G29" s="60"/>
      <c r="H29" s="330"/>
      <c r="I29" s="60"/>
      <c r="J29" s="89"/>
      <c r="K29" s="61"/>
      <c r="L29" s="62"/>
      <c r="M29" s="62"/>
      <c r="N29" s="61"/>
      <c r="O29" s="89"/>
      <c r="P29" s="61"/>
      <c r="Q29" s="62"/>
      <c r="R29" s="62"/>
      <c r="S29" s="312"/>
      <c r="T29" s="61"/>
      <c r="U29" s="89"/>
      <c r="V29" s="61"/>
      <c r="W29" s="61"/>
      <c r="X29" s="61"/>
      <c r="Y29" s="89"/>
      <c r="Z29" s="61"/>
      <c r="AA29" s="61"/>
      <c r="AC29" s="89"/>
      <c r="AD29" s="61"/>
      <c r="AE29" s="61"/>
    </row>
    <row r="30" spans="1:31" ht="24" customHeight="1" x14ac:dyDescent="0.4">
      <c r="A30" s="32" t="s">
        <v>42</v>
      </c>
      <c r="B30" s="43" t="s">
        <v>43</v>
      </c>
      <c r="C30" s="63"/>
      <c r="D30" s="90">
        <f>0.1*D20</f>
        <v>0</v>
      </c>
      <c r="E30" s="90"/>
      <c r="F30" s="59">
        <f>D30/12</f>
        <v>0</v>
      </c>
      <c r="G30" s="60"/>
      <c r="H30" s="330"/>
      <c r="I30" s="60"/>
      <c r="J30" s="90">
        <f>0.1*J20</f>
        <v>9908.9633031811918</v>
      </c>
      <c r="K30" s="61"/>
      <c r="L30" s="62">
        <f>J30-D30</f>
        <v>9908.9633031811918</v>
      </c>
      <c r="M30" s="62">
        <f>J30/12</f>
        <v>825.74694193176595</v>
      </c>
      <c r="N30" s="61"/>
      <c r="O30" s="90">
        <f>0.1*O20</f>
        <v>10229.988941796004</v>
      </c>
      <c r="P30" s="61"/>
      <c r="Q30" s="62">
        <f>O30/12</f>
        <v>852.49907848300029</v>
      </c>
      <c r="R30" s="62"/>
      <c r="S30" s="312"/>
      <c r="T30" s="61"/>
      <c r="U30" s="90">
        <f>0.1*U20</f>
        <v>7574.341491379837</v>
      </c>
      <c r="V30" s="61"/>
      <c r="W30" s="61">
        <f>U30/12</f>
        <v>631.19512428165308</v>
      </c>
      <c r="X30" s="61"/>
      <c r="Y30" s="90">
        <f>0.1*Y20</f>
        <v>9629.8996293144064</v>
      </c>
      <c r="Z30" s="61"/>
      <c r="AA30" s="61">
        <f>Y30/12</f>
        <v>802.4916357762005</v>
      </c>
      <c r="AC30" s="90">
        <f>MAX(0.1,AC7)*AC20</f>
        <v>5574.3303745190988</v>
      </c>
      <c r="AD30" s="61"/>
      <c r="AE30" s="61">
        <f>AC30/12</f>
        <v>464.52753120992492</v>
      </c>
    </row>
    <row r="31" spans="1:31" ht="6" customHeight="1" x14ac:dyDescent="0.4">
      <c r="B31" s="91"/>
      <c r="C31" s="63"/>
      <c r="D31" s="90"/>
      <c r="E31" s="90"/>
      <c r="F31" s="59"/>
      <c r="G31" s="60"/>
      <c r="H31" s="330"/>
      <c r="I31" s="60"/>
      <c r="J31" s="90"/>
      <c r="K31" s="61"/>
      <c r="L31" s="62"/>
      <c r="M31" s="62"/>
      <c r="N31" s="61"/>
      <c r="O31" s="90"/>
      <c r="P31" s="61"/>
      <c r="Q31" s="62"/>
      <c r="R31" s="62"/>
      <c r="S31" s="312"/>
      <c r="T31" s="61"/>
      <c r="U31" s="90"/>
      <c r="V31" s="61"/>
      <c r="W31" s="61"/>
      <c r="X31" s="61"/>
      <c r="Y31" s="90"/>
      <c r="Z31" s="61"/>
      <c r="AA31" s="61"/>
      <c r="AC31" s="90"/>
      <c r="AD31" s="61"/>
      <c r="AE31" s="61"/>
    </row>
    <row r="32" spans="1:31" ht="24" customHeight="1" x14ac:dyDescent="0.4">
      <c r="A32" s="32" t="s">
        <v>44</v>
      </c>
      <c r="B32" s="43" t="s">
        <v>155</v>
      </c>
      <c r="C32" s="63"/>
      <c r="D32" s="114"/>
      <c r="E32" s="90"/>
      <c r="F32" s="59">
        <f>D32/12</f>
        <v>0</v>
      </c>
      <c r="G32" s="60"/>
      <c r="H32" s="330"/>
      <c r="I32" s="60"/>
      <c r="J32" s="114">
        <v>24790</v>
      </c>
      <c r="K32" s="61"/>
      <c r="L32" s="62">
        <f>J32-D32</f>
        <v>24790</v>
      </c>
      <c r="M32" s="62">
        <f>J32/12</f>
        <v>2065.8333333333335</v>
      </c>
      <c r="N32" s="61"/>
      <c r="O32" s="114">
        <v>24790</v>
      </c>
      <c r="P32" s="61"/>
      <c r="Q32" s="62">
        <f>O32/12</f>
        <v>2065.8333333333335</v>
      </c>
      <c r="R32" s="62"/>
      <c r="S32" s="312"/>
      <c r="T32" s="61"/>
      <c r="U32" s="92">
        <v>8970</v>
      </c>
      <c r="V32" s="61"/>
      <c r="W32" s="61">
        <f>U32/12</f>
        <v>747.5</v>
      </c>
      <c r="X32" s="61"/>
      <c r="Y32" s="114">
        <f>9735+500</f>
        <v>10235</v>
      </c>
      <c r="Z32" s="61"/>
      <c r="AA32" s="61">
        <f>Y32/12</f>
        <v>852.91666666666663</v>
      </c>
      <c r="AC32" s="114">
        <v>7700</v>
      </c>
      <c r="AD32" s="61"/>
      <c r="AE32" s="61">
        <f>AC32/12</f>
        <v>641.66666666666663</v>
      </c>
    </row>
    <row r="33" spans="1:45" ht="6" customHeight="1" x14ac:dyDescent="0.4">
      <c r="B33" s="91"/>
      <c r="C33" s="93"/>
      <c r="D33" s="94"/>
      <c r="E33" s="94"/>
      <c r="F33" s="59"/>
      <c r="G33" s="60"/>
      <c r="H33" s="330"/>
      <c r="I33" s="60"/>
      <c r="J33" s="94"/>
      <c r="K33" s="61"/>
      <c r="L33" s="62"/>
      <c r="M33" s="62"/>
      <c r="N33" s="61"/>
      <c r="O33" s="94"/>
      <c r="P33" s="61"/>
      <c r="Q33" s="62"/>
      <c r="R33" s="62"/>
      <c r="S33" s="312"/>
      <c r="T33" s="61"/>
      <c r="U33" s="94"/>
      <c r="V33" s="61"/>
      <c r="W33" s="61"/>
      <c r="X33" s="61"/>
      <c r="Y33" s="94"/>
      <c r="Z33" s="61"/>
      <c r="AA33" s="61"/>
      <c r="AC33" s="94"/>
      <c r="AD33" s="61"/>
      <c r="AE33" s="61"/>
    </row>
    <row r="34" spans="1:45" s="76" customFormat="1" ht="24" customHeight="1" x14ac:dyDescent="0.4">
      <c r="A34" s="32" t="s">
        <v>45</v>
      </c>
      <c r="B34" s="43" t="s">
        <v>102</v>
      </c>
      <c r="C34" s="63"/>
      <c r="D34" s="90">
        <f>D20*0.005</f>
        <v>0</v>
      </c>
      <c r="E34" s="90"/>
      <c r="F34" s="60">
        <f>D34/12</f>
        <v>0</v>
      </c>
      <c r="G34" s="60"/>
      <c r="H34" s="330"/>
      <c r="I34" s="60"/>
      <c r="J34" s="90">
        <f>J20*0.005</f>
        <v>495.44816515905956</v>
      </c>
      <c r="K34" s="61"/>
      <c r="L34" s="62">
        <f>J34-D34</f>
        <v>495.44816515905956</v>
      </c>
      <c r="M34" s="62">
        <f>J34/12</f>
        <v>41.287347096588299</v>
      </c>
      <c r="N34" s="61"/>
      <c r="O34" s="90">
        <f>O20*0.005</f>
        <v>511.49944708980019</v>
      </c>
      <c r="P34" s="61"/>
      <c r="Q34" s="62">
        <f>O34/12</f>
        <v>42.624953924150013</v>
      </c>
      <c r="R34" s="62"/>
      <c r="S34" s="312"/>
      <c r="T34" s="61"/>
      <c r="U34" s="90">
        <f>U20*0.005</f>
        <v>378.71707456899179</v>
      </c>
      <c r="V34" s="61"/>
      <c r="W34" s="61">
        <f>U34/12</f>
        <v>31.55975621408265</v>
      </c>
      <c r="X34" s="61"/>
      <c r="Y34" s="90">
        <f>Y20*0.005</f>
        <v>481.49498146572034</v>
      </c>
      <c r="Z34" s="61"/>
      <c r="AA34" s="61">
        <f>Y34/12</f>
        <v>40.124581788810026</v>
      </c>
      <c r="AB34" s="308"/>
      <c r="AC34" s="90">
        <f>AC20*0.005</f>
        <v>232.26376560496246</v>
      </c>
      <c r="AD34" s="61"/>
      <c r="AE34" s="61">
        <f>AC34/12</f>
        <v>19.355313800413537</v>
      </c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</row>
    <row r="35" spans="1:45" ht="6" customHeight="1" x14ac:dyDescent="0.4">
      <c r="B35" s="91"/>
      <c r="C35" s="93"/>
      <c r="D35" s="94"/>
      <c r="E35" s="94"/>
      <c r="F35" s="60"/>
      <c r="G35" s="60"/>
      <c r="H35" s="330"/>
      <c r="I35" s="60"/>
      <c r="J35" s="94"/>
      <c r="K35" s="61"/>
      <c r="L35" s="62"/>
      <c r="M35" s="62"/>
      <c r="N35" s="61"/>
      <c r="O35" s="94"/>
      <c r="P35" s="61"/>
      <c r="Q35" s="62"/>
      <c r="R35" s="62"/>
      <c r="S35" s="312"/>
      <c r="T35" s="61"/>
      <c r="U35" s="94"/>
      <c r="V35" s="61"/>
      <c r="W35" s="61"/>
      <c r="X35" s="61"/>
      <c r="Y35" s="94"/>
      <c r="Z35" s="61"/>
      <c r="AA35" s="61"/>
      <c r="AC35" s="94"/>
      <c r="AD35" s="61"/>
      <c r="AE35" s="61"/>
    </row>
    <row r="36" spans="1:45" s="76" customFormat="1" ht="24" customHeight="1" x14ac:dyDescent="0.4">
      <c r="A36" s="32" t="s">
        <v>45</v>
      </c>
      <c r="B36" s="202" t="s">
        <v>139</v>
      </c>
      <c r="C36" s="63"/>
      <c r="D36" s="359" t="s">
        <v>143</v>
      </c>
      <c r="E36" s="90"/>
      <c r="F36" s="337"/>
      <c r="G36" s="60"/>
      <c r="H36" s="330"/>
      <c r="I36" s="60"/>
      <c r="J36" s="359" t="s">
        <v>143</v>
      </c>
      <c r="K36" s="61"/>
      <c r="L36" s="62" t="e">
        <f>J36-D36</f>
        <v>#VALUE!</v>
      </c>
      <c r="M36" s="337"/>
      <c r="N36" s="61"/>
      <c r="O36" s="359" t="s">
        <v>143</v>
      </c>
      <c r="P36" s="61"/>
      <c r="Q36" s="337"/>
      <c r="R36" s="62"/>
      <c r="S36" s="312"/>
      <c r="T36" s="61"/>
      <c r="U36" s="359" t="s">
        <v>143</v>
      </c>
      <c r="V36" s="61"/>
      <c r="W36" s="337"/>
      <c r="X36" s="61"/>
      <c r="Y36" s="359" t="s">
        <v>143</v>
      </c>
      <c r="Z36" s="61"/>
      <c r="AA36" s="337"/>
      <c r="AB36" s="308"/>
      <c r="AC36" s="359" t="s">
        <v>143</v>
      </c>
      <c r="AD36" s="61"/>
      <c r="AE36" s="337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</row>
    <row r="37" spans="1:45" s="76" customFormat="1" ht="24" customHeight="1" x14ac:dyDescent="0.4">
      <c r="A37" s="32"/>
      <c r="B37" s="85"/>
      <c r="C37" s="63"/>
      <c r="D37" s="95"/>
      <c r="E37" s="95"/>
      <c r="F37" s="73"/>
      <c r="G37" s="60"/>
      <c r="H37" s="330"/>
      <c r="I37" s="60"/>
      <c r="J37" s="95"/>
      <c r="K37" s="74"/>
      <c r="L37" s="75"/>
      <c r="M37" s="75"/>
      <c r="N37" s="74"/>
      <c r="O37" s="95"/>
      <c r="P37" s="74"/>
      <c r="Q37" s="75"/>
      <c r="R37" s="75"/>
      <c r="S37" s="350"/>
      <c r="T37" s="74"/>
      <c r="U37" s="95"/>
      <c r="V37" s="74"/>
      <c r="W37" s="74"/>
      <c r="X37" s="74"/>
      <c r="Y37" s="95"/>
      <c r="Z37" s="74"/>
      <c r="AA37" s="74"/>
      <c r="AB37" s="309"/>
      <c r="AC37" s="95"/>
      <c r="AD37" s="74"/>
      <c r="AE37" s="74"/>
    </row>
    <row r="38" spans="1:45" s="83" customFormat="1" ht="22.5" x14ac:dyDescent="0.45">
      <c r="A38" s="33" t="s">
        <v>46</v>
      </c>
      <c r="B38" s="77" t="s">
        <v>47</v>
      </c>
      <c r="C38" s="63"/>
      <c r="D38" s="313">
        <f>D30+D32+D34</f>
        <v>0</v>
      </c>
      <c r="E38" s="78"/>
      <c r="F38" s="79">
        <f>D38/12</f>
        <v>0</v>
      </c>
      <c r="G38" s="60"/>
      <c r="H38" s="330"/>
      <c r="I38" s="60"/>
      <c r="J38" s="313">
        <f>J30+J32+J34</f>
        <v>35194.411468340251</v>
      </c>
      <c r="K38" s="80"/>
      <c r="L38" s="81">
        <f>J38-D38</f>
        <v>35194.411468340251</v>
      </c>
      <c r="M38" s="81">
        <f>J38/12</f>
        <v>2932.8676223616876</v>
      </c>
      <c r="N38" s="80"/>
      <c r="O38" s="313">
        <f>O30+O32+O34</f>
        <v>35531.488388885809</v>
      </c>
      <c r="P38" s="80"/>
      <c r="Q38" s="81">
        <f>O38/12</f>
        <v>2960.957365740484</v>
      </c>
      <c r="R38" s="81"/>
      <c r="S38" s="351"/>
      <c r="T38" s="80"/>
      <c r="U38" s="313">
        <f>U30+U32+U34</f>
        <v>16923.058565948828</v>
      </c>
      <c r="V38" s="80"/>
      <c r="W38" s="80">
        <f>U38/12</f>
        <v>1410.2548804957357</v>
      </c>
      <c r="X38" s="80"/>
      <c r="Y38" s="313">
        <f>Y30+Y32+Y34</f>
        <v>20346.394610780128</v>
      </c>
      <c r="Z38" s="80"/>
      <c r="AA38" s="80">
        <f>Y38/12</f>
        <v>1695.5328842316774</v>
      </c>
      <c r="AB38" s="310"/>
      <c r="AC38" s="313">
        <f>AC30+AC32+AC34</f>
        <v>13506.594140124062</v>
      </c>
      <c r="AD38" s="80"/>
      <c r="AE38" s="80">
        <f>AC38/12</f>
        <v>1125.5495116770051</v>
      </c>
    </row>
    <row r="39" spans="1:45" ht="30" customHeight="1" x14ac:dyDescent="0.35">
      <c r="B39" s="43"/>
      <c r="C39" s="63"/>
      <c r="D39" s="61"/>
      <c r="E39" s="61"/>
      <c r="F39" s="59"/>
      <c r="G39" s="60"/>
      <c r="H39" s="330"/>
      <c r="I39" s="60"/>
      <c r="J39" s="61"/>
      <c r="K39" s="61"/>
      <c r="L39" s="62"/>
      <c r="M39" s="62"/>
      <c r="N39" s="61"/>
      <c r="O39" s="61"/>
      <c r="P39" s="61"/>
      <c r="Q39" s="62"/>
      <c r="R39" s="62"/>
      <c r="S39" s="312"/>
      <c r="T39" s="61"/>
      <c r="U39" s="61"/>
      <c r="V39" s="61"/>
      <c r="W39" s="61"/>
      <c r="X39" s="61"/>
      <c r="Y39" s="61"/>
      <c r="Z39" s="61"/>
      <c r="AA39" s="61"/>
      <c r="AC39" s="61"/>
      <c r="AD39" s="61"/>
      <c r="AE39" s="61"/>
    </row>
    <row r="40" spans="1:45" ht="9.75" hidden="1" customHeight="1" x14ac:dyDescent="0.35">
      <c r="B40" s="43"/>
      <c r="C40" s="63"/>
      <c r="D40" s="61"/>
      <c r="E40" s="61"/>
      <c r="F40" s="59"/>
      <c r="G40" s="60"/>
      <c r="H40" s="330"/>
      <c r="I40" s="60"/>
      <c r="J40" s="61"/>
      <c r="K40" s="61"/>
      <c r="L40" s="62"/>
      <c r="M40" s="62"/>
      <c r="N40" s="61"/>
      <c r="O40" s="61"/>
      <c r="P40" s="61"/>
      <c r="Q40" s="62"/>
      <c r="R40" s="62"/>
      <c r="S40" s="312"/>
      <c r="T40" s="61"/>
      <c r="U40" s="61"/>
      <c r="V40" s="61"/>
      <c r="W40" s="61"/>
      <c r="X40" s="61"/>
      <c r="Y40" s="61"/>
      <c r="Z40" s="61"/>
      <c r="AA40" s="61"/>
      <c r="AC40" s="61"/>
      <c r="AD40" s="61"/>
      <c r="AE40" s="61"/>
    </row>
    <row r="41" spans="1:45" ht="43" customHeight="1" thickBot="1" x14ac:dyDescent="0.55000000000000004">
      <c r="B41" s="96" t="s">
        <v>48</v>
      </c>
      <c r="C41" s="63"/>
      <c r="D41" s="314">
        <f>D20+D38</f>
        <v>0</v>
      </c>
      <c r="E41" s="97"/>
      <c r="F41" s="98">
        <f>D41/12</f>
        <v>0</v>
      </c>
      <c r="G41" s="60"/>
      <c r="H41" s="330"/>
      <c r="I41" s="60"/>
      <c r="J41" s="314">
        <f>J20+J38</f>
        <v>134284.04450015217</v>
      </c>
      <c r="K41" s="61"/>
      <c r="L41" s="99">
        <f>J41-D41</f>
        <v>134284.04450015217</v>
      </c>
      <c r="M41" s="99">
        <f>J41/12</f>
        <v>11190.337041679348</v>
      </c>
      <c r="N41" s="61"/>
      <c r="O41" s="314">
        <f>O20+O38</f>
        <v>137831.37780684585</v>
      </c>
      <c r="P41" s="61"/>
      <c r="Q41" s="99">
        <f>O41/12</f>
        <v>11485.948150570488</v>
      </c>
      <c r="R41" s="62"/>
      <c r="S41" s="312"/>
      <c r="T41" s="61"/>
      <c r="U41" s="314">
        <f>U20+U26+U38</f>
        <v>92666.47347974719</v>
      </c>
      <c r="V41" s="97"/>
      <c r="W41" s="100">
        <f>U41/12</f>
        <v>7722.2061233122658</v>
      </c>
      <c r="X41" s="61"/>
      <c r="Y41" s="314">
        <f>Y20+Y26+Y38</f>
        <v>116645.3909039242</v>
      </c>
      <c r="Z41" s="97"/>
      <c r="AA41" s="100">
        <f>Y41/12</f>
        <v>9720.4492419936832</v>
      </c>
      <c r="AC41" s="314">
        <f>AC20+AC26+AC38</f>
        <v>59959.347261116556</v>
      </c>
      <c r="AD41" s="97"/>
      <c r="AE41" s="100">
        <f>AC41/12</f>
        <v>4996.6122717597127</v>
      </c>
    </row>
    <row r="42" spans="1:45" ht="16" thickTop="1" x14ac:dyDescent="0.35">
      <c r="B42" s="101"/>
      <c r="C42" s="102"/>
      <c r="D42" s="103"/>
      <c r="E42" s="104"/>
      <c r="F42" s="59"/>
      <c r="G42" s="60"/>
      <c r="H42" s="330"/>
      <c r="I42" s="60"/>
      <c r="J42" s="103"/>
      <c r="K42" s="61"/>
      <c r="L42" s="62"/>
      <c r="M42" s="62"/>
      <c r="N42" s="61"/>
      <c r="O42" s="103"/>
      <c r="P42" s="61"/>
      <c r="Q42" s="62"/>
      <c r="R42" s="62"/>
      <c r="S42" s="312"/>
      <c r="T42" s="61"/>
      <c r="U42" s="103"/>
      <c r="V42" s="61"/>
      <c r="W42" s="61"/>
      <c r="X42" s="61"/>
      <c r="Y42" s="103"/>
      <c r="Z42" s="61"/>
      <c r="AA42" s="61"/>
      <c r="AC42" s="103"/>
      <c r="AD42" s="61"/>
      <c r="AE42" s="61"/>
    </row>
    <row r="43" spans="1:45" ht="17.5" customHeight="1" x14ac:dyDescent="0.35">
      <c r="B43" s="43"/>
      <c r="C43" s="63"/>
      <c r="D43" s="61"/>
      <c r="E43" s="61"/>
      <c r="F43" s="59"/>
      <c r="G43" s="60"/>
      <c r="H43" s="330"/>
      <c r="I43" s="60"/>
      <c r="J43" s="404"/>
      <c r="K43" s="404"/>
      <c r="L43" s="404"/>
      <c r="M43" s="404"/>
      <c r="N43" s="404"/>
      <c r="O43" s="404"/>
      <c r="P43" s="404"/>
      <c r="Q43" s="62"/>
      <c r="R43" s="62"/>
      <c r="S43" s="312"/>
      <c r="T43" s="61"/>
      <c r="U43" s="405"/>
      <c r="V43" s="405"/>
      <c r="W43" s="405"/>
      <c r="X43" s="262"/>
      <c r="Y43" s="403"/>
      <c r="Z43" s="403"/>
      <c r="AA43" s="403"/>
      <c r="AC43" s="403"/>
      <c r="AD43" s="403"/>
      <c r="AE43" s="403"/>
    </row>
    <row r="44" spans="1:45" ht="32.25" hidden="1" customHeight="1" x14ac:dyDescent="0.35">
      <c r="B44" s="105" t="s">
        <v>49</v>
      </c>
      <c r="C44" s="105"/>
      <c r="D44" s="106"/>
      <c r="E44" s="61"/>
      <c r="F44" s="59"/>
      <c r="G44" s="60"/>
      <c r="H44" s="330"/>
      <c r="I44" s="60"/>
      <c r="J44" s="404"/>
      <c r="K44" s="404"/>
      <c r="L44" s="404"/>
      <c r="M44" s="404"/>
      <c r="N44" s="404"/>
      <c r="O44" s="404"/>
      <c r="P44" s="404"/>
      <c r="Q44" s="62"/>
      <c r="R44" s="62"/>
      <c r="S44" s="312"/>
      <c r="T44" s="61"/>
      <c r="U44" s="405"/>
      <c r="V44" s="405"/>
      <c r="W44" s="405"/>
      <c r="X44" s="262"/>
      <c r="Y44" s="403"/>
      <c r="Z44" s="403"/>
      <c r="AA44" s="403"/>
      <c r="AC44" s="403"/>
      <c r="AD44" s="403"/>
      <c r="AE44" s="403"/>
    </row>
    <row r="45" spans="1:45" ht="33.5" customHeight="1" x14ac:dyDescent="0.35">
      <c r="D45" s="61"/>
      <c r="E45" s="61"/>
      <c r="F45" s="59"/>
      <c r="G45" s="60"/>
      <c r="H45" s="330"/>
      <c r="I45" s="60"/>
      <c r="J45" s="404"/>
      <c r="K45" s="404"/>
      <c r="L45" s="404"/>
      <c r="M45" s="404"/>
      <c r="N45" s="404"/>
      <c r="O45" s="404"/>
      <c r="P45" s="404"/>
      <c r="Q45" s="61"/>
      <c r="R45" s="62"/>
      <c r="S45" s="312"/>
      <c r="T45" s="61"/>
      <c r="U45" s="405"/>
      <c r="V45" s="405"/>
      <c r="W45" s="405"/>
      <c r="X45" s="262"/>
      <c r="Y45" s="403"/>
      <c r="Z45" s="403"/>
      <c r="AA45" s="403"/>
      <c r="AC45" s="403"/>
      <c r="AD45" s="403"/>
      <c r="AE45" s="403"/>
    </row>
    <row r="46" spans="1:45" ht="20" x14ac:dyDescent="0.4">
      <c r="B46" s="88" t="s">
        <v>50</v>
      </c>
      <c r="C46" s="107"/>
      <c r="D46" s="89"/>
      <c r="E46" s="89"/>
      <c r="F46" s="108"/>
      <c r="G46" s="109"/>
      <c r="H46" s="348"/>
      <c r="I46" s="109"/>
      <c r="J46" s="89"/>
      <c r="K46" s="61"/>
      <c r="L46" s="110"/>
      <c r="M46" s="110"/>
      <c r="N46" s="61"/>
      <c r="O46" s="89"/>
      <c r="P46" s="61"/>
      <c r="Q46" s="110"/>
      <c r="R46" s="110"/>
      <c r="S46" s="312"/>
      <c r="T46" s="61"/>
      <c r="U46" s="89"/>
      <c r="V46" s="61"/>
      <c r="W46" s="111"/>
      <c r="X46" s="61"/>
      <c r="Y46" s="89"/>
      <c r="Z46" s="61"/>
      <c r="AA46" s="111"/>
      <c r="AC46" s="89"/>
      <c r="AD46" s="61"/>
      <c r="AE46" s="111"/>
    </row>
    <row r="47" spans="1:45" s="208" customFormat="1" ht="24" customHeight="1" x14ac:dyDescent="0.4">
      <c r="A47" s="201" t="s">
        <v>51</v>
      </c>
      <c r="B47" s="202" t="s">
        <v>52</v>
      </c>
      <c r="C47" s="203"/>
      <c r="D47" s="113"/>
      <c r="E47" s="204"/>
      <c r="F47" s="205"/>
      <c r="G47" s="206"/>
      <c r="H47" s="333"/>
      <c r="I47" s="206"/>
      <c r="J47" s="113"/>
      <c r="K47" s="204"/>
      <c r="L47" s="207"/>
      <c r="M47" s="207"/>
      <c r="N47" s="204"/>
      <c r="O47" s="113"/>
      <c r="P47" s="204"/>
      <c r="Q47" s="207"/>
      <c r="R47" s="207"/>
      <c r="S47" s="352"/>
      <c r="T47" s="204"/>
      <c r="U47" s="113"/>
      <c r="V47" s="204"/>
      <c r="W47" s="204"/>
      <c r="X47" s="204"/>
      <c r="Y47" s="113"/>
      <c r="Z47" s="204"/>
      <c r="AA47" s="204"/>
      <c r="AB47" s="311"/>
      <c r="AC47" s="113"/>
      <c r="AD47" s="204"/>
      <c r="AE47" s="204"/>
    </row>
    <row r="48" spans="1:45" s="208" customFormat="1" ht="24" customHeight="1" x14ac:dyDescent="0.4">
      <c r="A48" s="201" t="s">
        <v>53</v>
      </c>
      <c r="B48" s="202" t="s">
        <v>54</v>
      </c>
      <c r="C48" s="209"/>
      <c r="D48" s="113"/>
      <c r="E48" s="210"/>
      <c r="F48" s="205"/>
      <c r="G48" s="206"/>
      <c r="H48" s="333"/>
      <c r="I48" s="206"/>
      <c r="J48" s="113"/>
      <c r="K48" s="204"/>
      <c r="L48" s="207"/>
      <c r="M48" s="207"/>
      <c r="N48" s="204"/>
      <c r="O48" s="113"/>
      <c r="P48" s="204"/>
      <c r="Q48" s="207"/>
      <c r="R48" s="207"/>
      <c r="S48" s="352"/>
      <c r="T48" s="204"/>
      <c r="U48" s="113"/>
      <c r="V48" s="204"/>
      <c r="W48" s="204"/>
      <c r="X48" s="204"/>
      <c r="Y48" s="113"/>
      <c r="Z48" s="204"/>
      <c r="AA48" s="204"/>
      <c r="AB48" s="311"/>
      <c r="AC48" s="113"/>
      <c r="AD48" s="204"/>
      <c r="AE48" s="204"/>
    </row>
    <row r="49" spans="1:31" s="208" customFormat="1" ht="24" customHeight="1" x14ac:dyDescent="0.4">
      <c r="A49" s="201" t="s">
        <v>55</v>
      </c>
      <c r="B49" s="202" t="s">
        <v>56</v>
      </c>
      <c r="C49" s="203"/>
      <c r="D49" s="113"/>
      <c r="E49" s="211"/>
      <c r="F49" s="205"/>
      <c r="G49" s="206"/>
      <c r="H49" s="333"/>
      <c r="I49" s="206"/>
      <c r="J49" s="113"/>
      <c r="K49" s="204"/>
      <c r="L49" s="207"/>
      <c r="M49" s="207"/>
      <c r="N49" s="204"/>
      <c r="O49" s="113"/>
      <c r="P49" s="204"/>
      <c r="Q49" s="207"/>
      <c r="R49" s="207"/>
      <c r="S49" s="352"/>
      <c r="T49" s="204"/>
      <c r="U49" s="113"/>
      <c r="V49" s="204"/>
      <c r="W49" s="204"/>
      <c r="X49" s="204"/>
      <c r="Y49" s="113"/>
      <c r="Z49" s="204"/>
      <c r="AA49" s="204"/>
      <c r="AB49" s="311"/>
      <c r="AC49" s="113"/>
      <c r="AD49" s="204"/>
      <c r="AE49" s="204"/>
    </row>
    <row r="50" spans="1:31" s="208" customFormat="1" ht="24" customHeight="1" x14ac:dyDescent="0.4">
      <c r="A50" s="201" t="s">
        <v>57</v>
      </c>
      <c r="B50" s="202" t="s">
        <v>58</v>
      </c>
      <c r="C50" s="212"/>
      <c r="D50" s="213"/>
      <c r="E50" s="211"/>
      <c r="F50" s="211"/>
      <c r="G50" s="211"/>
      <c r="H50" s="333"/>
      <c r="I50" s="211"/>
      <c r="J50" s="213"/>
      <c r="K50" s="211"/>
      <c r="L50" s="211"/>
      <c r="M50" s="211"/>
      <c r="N50" s="211"/>
      <c r="O50" s="113"/>
      <c r="P50" s="204"/>
      <c r="Q50" s="207"/>
      <c r="R50" s="207"/>
      <c r="S50" s="352"/>
      <c r="T50" s="204"/>
      <c r="U50" s="113"/>
      <c r="V50" s="204"/>
      <c r="W50" s="204"/>
      <c r="X50" s="204"/>
      <c r="Y50" s="113"/>
      <c r="Z50" s="204"/>
      <c r="AA50" s="204"/>
      <c r="AB50" s="311"/>
      <c r="AC50" s="113"/>
      <c r="AD50" s="204"/>
      <c r="AE50" s="204"/>
    </row>
    <row r="51" spans="1:31" s="208" customFormat="1" ht="24" customHeight="1" x14ac:dyDescent="0.4">
      <c r="A51" s="201" t="s">
        <v>59</v>
      </c>
      <c r="B51" s="202" t="s">
        <v>60</v>
      </c>
      <c r="C51" s="214"/>
      <c r="D51" s="113"/>
      <c r="E51" s="215"/>
      <c r="F51" s="205"/>
      <c r="G51" s="206"/>
      <c r="H51" s="333"/>
      <c r="I51" s="206"/>
      <c r="J51" s="113"/>
      <c r="K51" s="204"/>
      <c r="L51" s="207"/>
      <c r="M51" s="207"/>
      <c r="N51" s="204"/>
      <c r="O51" s="113"/>
      <c r="P51" s="204"/>
      <c r="Q51" s="207"/>
      <c r="R51" s="207"/>
      <c r="S51" s="352"/>
      <c r="T51" s="204"/>
      <c r="U51" s="113"/>
      <c r="V51" s="204"/>
      <c r="W51" s="204"/>
      <c r="X51" s="204"/>
      <c r="Y51" s="113"/>
      <c r="Z51" s="204"/>
      <c r="AA51" s="204"/>
      <c r="AB51" s="311"/>
      <c r="AC51" s="113"/>
      <c r="AD51" s="204"/>
      <c r="AE51" s="204"/>
    </row>
    <row r="52" spans="1:31" s="208" customFormat="1" ht="18" x14ac:dyDescent="0.4">
      <c r="A52" s="201"/>
      <c r="B52" s="203"/>
      <c r="C52" s="214"/>
      <c r="D52" s="211"/>
      <c r="E52" s="211"/>
      <c r="F52" s="211"/>
      <c r="G52" s="216"/>
      <c r="H52" s="333"/>
      <c r="I52" s="216"/>
      <c r="J52" s="211"/>
      <c r="K52" s="211"/>
      <c r="L52" s="211"/>
      <c r="M52" s="211"/>
      <c r="N52" s="211"/>
      <c r="O52" s="211"/>
      <c r="P52" s="204"/>
      <c r="Q52" s="207"/>
      <c r="R52" s="207"/>
      <c r="S52" s="352"/>
      <c r="T52" s="204"/>
      <c r="U52" s="204"/>
      <c r="V52" s="204"/>
      <c r="W52" s="204"/>
      <c r="X52" s="204"/>
      <c r="Y52" s="204"/>
      <c r="Z52" s="204"/>
      <c r="AA52" s="204"/>
      <c r="AB52" s="311"/>
      <c r="AC52" s="204"/>
      <c r="AD52" s="204"/>
      <c r="AE52" s="204"/>
    </row>
    <row r="53" spans="1:31" s="208" customFormat="1" ht="18" x14ac:dyDescent="0.4">
      <c r="A53" s="201"/>
      <c r="B53" s="208" t="s">
        <v>61</v>
      </c>
      <c r="C53" s="203"/>
      <c r="D53" s="213"/>
      <c r="F53" s="217"/>
      <c r="G53" s="218"/>
      <c r="H53" s="349"/>
      <c r="I53" s="218"/>
      <c r="J53" s="213"/>
      <c r="L53" s="219"/>
      <c r="M53" s="220"/>
      <c r="O53" s="113"/>
      <c r="Q53" s="220"/>
      <c r="R53" s="220"/>
      <c r="S53" s="311"/>
      <c r="U53" s="113"/>
      <c r="W53" s="221"/>
      <c r="Y53" s="113"/>
      <c r="AA53" s="221"/>
      <c r="AB53" s="311"/>
      <c r="AC53" s="113"/>
      <c r="AE53" s="221"/>
    </row>
    <row r="54" spans="1:31" ht="18" x14ac:dyDescent="0.4">
      <c r="A54" s="33"/>
      <c r="B54" s="33" t="s">
        <v>104</v>
      </c>
      <c r="C54" s="56"/>
      <c r="D54" s="213"/>
      <c r="E54" s="208"/>
      <c r="F54" s="217"/>
      <c r="G54" s="218"/>
      <c r="H54" s="349"/>
      <c r="I54" s="218"/>
      <c r="J54" s="213"/>
      <c r="K54" s="208"/>
      <c r="L54" s="219"/>
      <c r="M54" s="220"/>
      <c r="N54" s="208"/>
      <c r="O54" s="113"/>
      <c r="P54" s="208"/>
      <c r="Q54" s="220"/>
      <c r="R54" s="61"/>
      <c r="S54" s="312"/>
      <c r="T54" s="56"/>
      <c r="U54" s="113"/>
      <c r="V54" s="208"/>
      <c r="W54" s="221"/>
      <c r="X54" s="208"/>
      <c r="Y54" s="113"/>
      <c r="Z54" s="208"/>
      <c r="AA54" s="221"/>
      <c r="AB54" s="311"/>
      <c r="AC54" s="113"/>
      <c r="AD54" s="208"/>
      <c r="AE54" s="221"/>
    </row>
  </sheetData>
  <mergeCells count="9">
    <mergeCell ref="B2:D2"/>
    <mergeCell ref="J2:Q2"/>
    <mergeCell ref="U2:W2"/>
    <mergeCell ref="AC43:AE45"/>
    <mergeCell ref="J43:P45"/>
    <mergeCell ref="U43:W45"/>
    <mergeCell ref="Y43:AA45"/>
    <mergeCell ref="Y2:AA2"/>
    <mergeCell ref="AC2:AE2"/>
  </mergeCells>
  <pageMargins left="0.5" right="0.5" top="0.75" bottom="0.75" header="0.3" footer="0.3"/>
  <pageSetup scale="38" orientation="landscape" horizontalDpi="4294967293" verticalDpi="4294967293" r:id="rId1"/>
  <headerFooter>
    <oddHeader>&amp;C&amp;"Times New Roman,Bold"&amp;18 2025&amp;"Times New Roman,Regular" EXAMPLE Worksheet for Ministers
NO Parsonage - Housing Allowance Provided</oddHeader>
    <oddFooter xml:space="preserve">&amp;LPortico Benefit Services:  1-800-352-2876 (M-F)
https://porticobenefits.org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E653F-B467-4C4E-BEF3-155A1EEBDE50}">
  <sheetPr>
    <pageSetUpPr fitToPage="1"/>
  </sheetPr>
  <dimension ref="A2:W44"/>
  <sheetViews>
    <sheetView tabSelected="1" view="pageBreakPreview" zoomScale="60" zoomScaleNormal="80" workbookViewId="0">
      <selection activeCell="R12" sqref="R12"/>
    </sheetView>
  </sheetViews>
  <sheetFormatPr defaultRowHeight="15.5" x14ac:dyDescent="0.35"/>
  <cols>
    <col min="1" max="1" width="1.7265625" style="262" customWidth="1"/>
    <col min="2" max="2" width="8.7265625" style="262"/>
    <col min="3" max="3" width="39.1796875" style="262" customWidth="1"/>
    <col min="4" max="4" width="11.36328125" style="262" customWidth="1"/>
    <col min="5" max="5" width="3.6328125" style="262" customWidth="1"/>
    <col min="6" max="6" width="17" style="262" customWidth="1"/>
    <col min="7" max="7" width="3.6328125" style="262" customWidth="1"/>
    <col min="8" max="8" width="20" style="262" customWidth="1"/>
    <col min="9" max="9" width="5.54296875" style="262" hidden="1" customWidth="1"/>
    <col min="10" max="10" width="6.36328125" style="262" hidden="1" customWidth="1"/>
    <col min="11" max="11" width="10.6328125" style="262" hidden="1" customWidth="1"/>
    <col min="12" max="12" width="6" style="288" hidden="1" customWidth="1"/>
    <col min="13" max="13" width="2.08984375" style="262" customWidth="1"/>
    <col min="14" max="14" width="5.7265625" style="262" customWidth="1"/>
    <col min="15" max="15" width="37.6328125" style="262" customWidth="1"/>
    <col min="16" max="16" width="9.6328125" style="262" customWidth="1"/>
    <col min="17" max="17" width="2.36328125" style="262" customWidth="1"/>
    <col min="18" max="18" width="14.90625" style="262" customWidth="1"/>
    <col min="19" max="19" width="1.453125" style="262" customWidth="1"/>
    <col min="20" max="20" width="18.7265625" style="262" customWidth="1"/>
    <col min="21" max="21" width="14.453125" style="262" customWidth="1"/>
    <col min="22" max="22" width="6.453125" style="262" customWidth="1"/>
    <col min="23" max="23" width="12.36328125" style="262" customWidth="1"/>
    <col min="24" max="16384" width="8.7265625" style="262"/>
  </cols>
  <sheetData>
    <row r="2" spans="2:23" s="285" customFormat="1" ht="20.5" x14ac:dyDescent="0.45">
      <c r="C2" s="415" t="s">
        <v>128</v>
      </c>
      <c r="D2" s="415"/>
      <c r="E2" s="415"/>
      <c r="F2" s="415"/>
      <c r="G2" s="415"/>
      <c r="H2" s="415"/>
      <c r="L2" s="286"/>
      <c r="O2" s="415" t="s">
        <v>129</v>
      </c>
      <c r="P2" s="415"/>
      <c r="Q2" s="415"/>
      <c r="R2" s="415"/>
      <c r="S2" s="415"/>
      <c r="T2" s="415"/>
    </row>
    <row r="4" spans="2:23" ht="18" x14ac:dyDescent="0.4">
      <c r="B4" s="416" t="s">
        <v>130</v>
      </c>
      <c r="C4" s="416"/>
      <c r="D4" s="287">
        <v>2015</v>
      </c>
      <c r="N4" s="416" t="s">
        <v>130</v>
      </c>
      <c r="O4" s="416"/>
      <c r="P4" s="287">
        <v>2020</v>
      </c>
    </row>
    <row r="5" spans="2:23" s="269" customFormat="1" ht="18" x14ac:dyDescent="0.4">
      <c r="B5" s="417" t="s">
        <v>11</v>
      </c>
      <c r="C5" s="417"/>
      <c r="D5" s="289">
        <v>0.5</v>
      </c>
      <c r="E5" s="264"/>
      <c r="L5" s="290"/>
      <c r="N5" s="269" t="s">
        <v>122</v>
      </c>
    </row>
    <row r="6" spans="2:23" x14ac:dyDescent="0.35">
      <c r="N6" s="262" t="s">
        <v>126</v>
      </c>
    </row>
    <row r="7" spans="2:23" ht="17.5" x14ac:dyDescent="0.35">
      <c r="F7" s="291" t="s">
        <v>111</v>
      </c>
      <c r="G7" s="291"/>
      <c r="H7" s="291" t="s">
        <v>112</v>
      </c>
      <c r="R7" s="291" t="s">
        <v>111</v>
      </c>
      <c r="S7" s="291"/>
      <c r="T7" s="291" t="s">
        <v>112</v>
      </c>
    </row>
    <row r="8" spans="2:23" x14ac:dyDescent="0.35">
      <c r="J8" s="292" t="s">
        <v>121</v>
      </c>
      <c r="K8" s="292">
        <f ca="1">H19+H25+H27+H31+H34</f>
        <v>70000</v>
      </c>
      <c r="V8" s="292" t="s">
        <v>121</v>
      </c>
      <c r="W8" s="292">
        <f ca="1">T19+T25+T27+T34</f>
        <v>55000</v>
      </c>
    </row>
    <row r="9" spans="2:23" s="274" customFormat="1" ht="20" x14ac:dyDescent="0.4">
      <c r="B9" s="394" t="s">
        <v>106</v>
      </c>
      <c r="C9" s="394" t="s">
        <v>105</v>
      </c>
      <c r="F9" s="275">
        <f>H9/12</f>
        <v>5833.333333333333</v>
      </c>
      <c r="G9" s="275"/>
      <c r="H9" s="293">
        <v>70000</v>
      </c>
      <c r="J9" s="292" t="str">
        <f ca="1">IF(K8=H9,"ok", "NO")</f>
        <v>ok</v>
      </c>
      <c r="K9" s="294"/>
      <c r="L9" s="295"/>
      <c r="N9" s="394" t="s">
        <v>106</v>
      </c>
      <c r="O9" s="394" t="s">
        <v>105</v>
      </c>
      <c r="R9" s="275">
        <f>T9/12</f>
        <v>4583.333333333333</v>
      </c>
      <c r="S9" s="275"/>
      <c r="T9" s="293">
        <v>55000</v>
      </c>
      <c r="V9" s="292" t="str">
        <f>IF(W9=T10,"ok", "NO")</f>
        <v>ok</v>
      </c>
      <c r="W9" s="294"/>
    </row>
    <row r="10" spans="2:23" x14ac:dyDescent="0.35">
      <c r="F10" s="265"/>
      <c r="G10" s="265"/>
      <c r="H10" s="265"/>
      <c r="R10" s="265"/>
      <c r="S10" s="265"/>
      <c r="T10" s="265"/>
    </row>
    <row r="11" spans="2:23" s="269" customFormat="1" ht="18" x14ac:dyDescent="0.4">
      <c r="B11" s="269" t="s">
        <v>35</v>
      </c>
      <c r="C11" s="269" t="s">
        <v>107</v>
      </c>
      <c r="F11" s="400">
        <v>900</v>
      </c>
      <c r="G11" s="296"/>
      <c r="H11" s="277">
        <f>F11*12</f>
        <v>10800</v>
      </c>
      <c r="L11" s="290"/>
      <c r="N11" s="269" t="s">
        <v>35</v>
      </c>
      <c r="O11" s="269" t="s">
        <v>107</v>
      </c>
      <c r="R11" s="398">
        <v>900</v>
      </c>
      <c r="S11" s="296"/>
      <c r="T11" s="277">
        <f>R11*12</f>
        <v>10800</v>
      </c>
    </row>
    <row r="12" spans="2:23" s="269" customFormat="1" ht="18" x14ac:dyDescent="0.4">
      <c r="F12" s="270"/>
      <c r="G12" s="270"/>
      <c r="H12" s="270"/>
      <c r="L12" s="290"/>
      <c r="R12" s="270"/>
      <c r="S12" s="270"/>
      <c r="T12" s="270"/>
    </row>
    <row r="13" spans="2:23" s="269" customFormat="1" ht="18" x14ac:dyDescent="0.4">
      <c r="B13" s="269" t="s">
        <v>37</v>
      </c>
      <c r="C13" s="269" t="s">
        <v>109</v>
      </c>
      <c r="D13" s="281">
        <v>5.0000000000000001E-3</v>
      </c>
      <c r="F13" s="270">
        <f ca="1">H13/12</f>
        <v>21.925925925925924</v>
      </c>
      <c r="G13" s="270"/>
      <c r="H13" s="278">
        <f ca="1">D13*H22</f>
        <v>263.11111111111109</v>
      </c>
      <c r="L13" s="290"/>
      <c r="N13" s="269" t="s">
        <v>37</v>
      </c>
      <c r="O13" s="269" t="s">
        <v>109</v>
      </c>
      <c r="P13" s="281">
        <v>5.0000000000000001E-3</v>
      </c>
      <c r="R13" s="270">
        <f ca="1">T13/12</f>
        <v>19.400486828859634</v>
      </c>
      <c r="S13" s="270"/>
      <c r="T13" s="278">
        <f ca="1">P13*(T$22+U$31)</f>
        <v>232.80584207166459</v>
      </c>
    </row>
    <row r="14" spans="2:23" s="269" customFormat="1" ht="18" x14ac:dyDescent="0.4">
      <c r="C14" s="281"/>
      <c r="D14" s="279"/>
      <c r="E14" s="279"/>
      <c r="F14" s="270"/>
      <c r="G14" s="270"/>
      <c r="H14" s="270"/>
      <c r="L14" s="290"/>
      <c r="O14" s="281"/>
      <c r="P14" s="279"/>
      <c r="Q14" s="279"/>
      <c r="R14" s="270"/>
      <c r="S14" s="270"/>
      <c r="T14" s="270"/>
    </row>
    <row r="15" spans="2:23" s="269" customFormat="1" ht="18" x14ac:dyDescent="0.4">
      <c r="B15" s="269" t="s">
        <v>39</v>
      </c>
      <c r="C15" s="279" t="s">
        <v>110</v>
      </c>
      <c r="D15" s="388">
        <v>0.12</v>
      </c>
      <c r="E15" s="279"/>
      <c r="F15" s="284">
        <f ca="1">H15/12</f>
        <v>526.22222222222217</v>
      </c>
      <c r="G15" s="374"/>
      <c r="H15" s="278">
        <f ca="1">D15*H22</f>
        <v>6314.6666666666661</v>
      </c>
      <c r="L15" s="290"/>
      <c r="N15" s="269" t="s">
        <v>39</v>
      </c>
      <c r="O15" s="279" t="s">
        <v>110</v>
      </c>
      <c r="P15" s="388">
        <v>0.12</v>
      </c>
      <c r="Q15" s="279"/>
      <c r="R15" s="284">
        <f ca="1">T15/12</f>
        <v>465.61168389263116</v>
      </c>
      <c r="S15" s="284"/>
      <c r="T15" s="278">
        <f ca="1">P15*(T$22+U$31)</f>
        <v>5587.3402097199496</v>
      </c>
    </row>
    <row r="16" spans="2:23" s="269" customFormat="1" ht="18" x14ac:dyDescent="0.4">
      <c r="C16" s="281"/>
      <c r="D16" s="279"/>
      <c r="E16" s="279"/>
      <c r="F16" s="270"/>
      <c r="G16" s="270"/>
      <c r="H16" s="270"/>
      <c r="L16" s="290"/>
      <c r="O16" s="281"/>
      <c r="P16" s="279"/>
      <c r="Q16" s="279"/>
      <c r="R16" s="270"/>
      <c r="S16" s="270"/>
      <c r="T16" s="270"/>
    </row>
    <row r="17" spans="1:21" s="271" customFormat="1" ht="18" x14ac:dyDescent="0.4">
      <c r="B17" s="262"/>
      <c r="C17" s="266"/>
      <c r="D17" s="266"/>
      <c r="E17" s="266"/>
      <c r="F17" s="265"/>
      <c r="G17" s="265"/>
      <c r="H17" s="265"/>
      <c r="L17" s="297"/>
      <c r="N17" s="269" t="s">
        <v>123</v>
      </c>
      <c r="O17" s="279" t="s">
        <v>124</v>
      </c>
      <c r="P17" s="279"/>
      <c r="Q17" s="279"/>
      <c r="R17" s="270">
        <f>T17/12</f>
        <v>150</v>
      </c>
      <c r="S17" s="270"/>
      <c r="T17" s="280">
        <v>1800</v>
      </c>
    </row>
    <row r="18" spans="1:21" ht="17.5" x14ac:dyDescent="0.35">
      <c r="A18" s="271"/>
      <c r="C18" s="266"/>
      <c r="D18" s="266"/>
      <c r="E18" s="266"/>
      <c r="F18" s="265"/>
      <c r="G18" s="265"/>
      <c r="H18" s="265"/>
      <c r="O18" s="266"/>
      <c r="P18" s="266"/>
      <c r="Q18" s="266"/>
      <c r="R18" s="265"/>
      <c r="S18" s="265"/>
      <c r="T18" s="265"/>
    </row>
    <row r="19" spans="1:21" s="271" customFormat="1" ht="17.5" x14ac:dyDescent="0.35">
      <c r="B19" s="298" t="s">
        <v>113</v>
      </c>
      <c r="C19" s="299"/>
      <c r="D19" s="298"/>
      <c r="E19" s="298"/>
      <c r="F19" s="301">
        <f ca="1">H19/12</f>
        <v>1448.148148148148</v>
      </c>
      <c r="G19" s="300"/>
      <c r="H19" s="301">
        <f ca="1">SUM(H11:H16)</f>
        <v>17377.777777777777</v>
      </c>
      <c r="L19" s="297"/>
      <c r="N19" s="298" t="s">
        <v>113</v>
      </c>
      <c r="O19" s="299"/>
      <c r="P19" s="298"/>
      <c r="Q19" s="298"/>
      <c r="R19" s="301">
        <f ca="1">T19/12</f>
        <v>1535.012170721491</v>
      </c>
      <c r="S19" s="300"/>
      <c r="T19" s="302">
        <f ca="1">T11+T13+T15+T17</f>
        <v>18420.146051791613</v>
      </c>
    </row>
    <row r="20" spans="1:21" ht="17.5" x14ac:dyDescent="0.35">
      <c r="A20" s="271"/>
      <c r="B20" s="272"/>
      <c r="C20" s="271"/>
      <c r="D20" s="272"/>
      <c r="E20" s="272"/>
      <c r="F20" s="283"/>
      <c r="G20" s="283"/>
      <c r="H20" s="276"/>
      <c r="N20" s="272"/>
      <c r="O20" s="271"/>
      <c r="P20" s="272"/>
      <c r="Q20" s="272"/>
      <c r="R20" s="283"/>
      <c r="S20" s="283"/>
      <c r="T20" s="276"/>
    </row>
    <row r="21" spans="1:21" ht="17.5" x14ac:dyDescent="0.35">
      <c r="B21" s="272"/>
      <c r="C21" s="271"/>
      <c r="D21" s="272"/>
      <c r="E21" s="272"/>
      <c r="F21" s="283"/>
      <c r="G21" s="283"/>
      <c r="H21" s="276"/>
      <c r="O21" s="266"/>
      <c r="P21" s="266"/>
      <c r="Q21" s="266"/>
      <c r="R21" s="265"/>
      <c r="S21" s="265"/>
      <c r="T21" s="265"/>
    </row>
    <row r="22" spans="1:21" s="269" customFormat="1" ht="18" x14ac:dyDescent="0.4">
      <c r="A22" s="271"/>
      <c r="B22" s="418" t="s">
        <v>119</v>
      </c>
      <c r="C22" s="418"/>
      <c r="D22" s="418"/>
      <c r="E22" s="418"/>
      <c r="F22" s="399">
        <f ca="1">H22/12</f>
        <v>4385.1851851851852</v>
      </c>
      <c r="G22" s="399"/>
      <c r="H22" s="399">
        <f ca="1">H9-H19</f>
        <v>52622.222222222219</v>
      </c>
      <c r="L22" s="290"/>
      <c r="N22" s="419" t="s">
        <v>119</v>
      </c>
      <c r="O22" s="419"/>
      <c r="P22" s="419"/>
      <c r="Q22" s="419"/>
      <c r="R22" s="273">
        <f ca="1">T22/12</f>
        <v>3048.3211626118427</v>
      </c>
      <c r="S22" s="273"/>
      <c r="T22" s="273">
        <f ca="1">T9-T19</f>
        <v>36579.853948208387</v>
      </c>
    </row>
    <row r="23" spans="1:21" s="269" customFormat="1" ht="18" x14ac:dyDescent="0.4">
      <c r="A23" s="262"/>
      <c r="B23" s="262"/>
      <c r="C23" s="266"/>
      <c r="D23" s="266"/>
      <c r="E23" s="266"/>
      <c r="F23" s="265"/>
      <c r="G23" s="265"/>
      <c r="H23" s="265"/>
      <c r="L23" s="290"/>
      <c r="N23" s="262"/>
      <c r="O23" s="266"/>
      <c r="P23" s="266"/>
      <c r="Q23" s="266"/>
      <c r="R23" s="265"/>
      <c r="S23" s="265"/>
      <c r="T23" s="265"/>
    </row>
    <row r="24" spans="1:21" s="269" customFormat="1" ht="18" x14ac:dyDescent="0.4">
      <c r="A24" s="262"/>
      <c r="B24" s="262"/>
      <c r="C24" s="266"/>
      <c r="D24" s="266"/>
      <c r="E24" s="266"/>
      <c r="F24" s="265"/>
      <c r="G24" s="265"/>
      <c r="H24" s="265"/>
      <c r="L24" s="290"/>
      <c r="N24" s="262"/>
      <c r="O24" s="266"/>
      <c r="P24" s="266"/>
      <c r="Q24" s="266"/>
      <c r="R24" s="265"/>
      <c r="S24" s="265"/>
      <c r="T24" s="265"/>
    </row>
    <row r="25" spans="1:21" ht="18" x14ac:dyDescent="0.4">
      <c r="A25" s="269"/>
      <c r="B25" s="269" t="s">
        <v>29</v>
      </c>
      <c r="C25" s="279" t="s">
        <v>116</v>
      </c>
      <c r="D25" s="279"/>
      <c r="E25" s="279"/>
      <c r="F25" s="270">
        <f ca="1">H25/12</f>
        <v>311.62718687103262</v>
      </c>
      <c r="G25" s="270"/>
      <c r="H25" s="270">
        <f ca="1">((H22-H25)*0.0765)</f>
        <v>3739.5262424523917</v>
      </c>
      <c r="N25" s="269" t="s">
        <v>29</v>
      </c>
      <c r="O25" s="279" t="s">
        <v>116</v>
      </c>
      <c r="P25" s="279"/>
      <c r="Q25" s="279"/>
      <c r="R25" s="270">
        <f ca="1">T25/12</f>
        <v>275.73381178106291</v>
      </c>
      <c r="S25" s="270"/>
      <c r="T25" s="270">
        <f ca="1">((T34+U31)*0.0765)</f>
        <v>3308.8057444814522</v>
      </c>
    </row>
    <row r="26" spans="1:21" s="274" customFormat="1" ht="20" x14ac:dyDescent="0.4">
      <c r="A26" s="269"/>
      <c r="B26" s="269"/>
      <c r="C26" s="279"/>
      <c r="D26" s="279"/>
      <c r="E26" s="279"/>
      <c r="F26" s="270"/>
      <c r="G26" s="270"/>
      <c r="H26" s="270"/>
      <c r="L26" s="295"/>
      <c r="N26" s="269"/>
      <c r="O26" s="279"/>
      <c r="P26" s="279"/>
      <c r="Q26" s="279"/>
      <c r="R26" s="270"/>
      <c r="S26" s="270"/>
      <c r="T26" s="270"/>
    </row>
    <row r="27" spans="1:21" ht="18" x14ac:dyDescent="0.4">
      <c r="A27" s="269"/>
      <c r="B27" s="269" t="s">
        <v>27</v>
      </c>
      <c r="C27" s="279" t="s">
        <v>28</v>
      </c>
      <c r="D27" s="279"/>
      <c r="E27" s="279"/>
      <c r="F27" s="270">
        <f>H27/12</f>
        <v>0</v>
      </c>
      <c r="G27" s="270"/>
      <c r="H27" s="375"/>
      <c r="N27" s="269" t="s">
        <v>27</v>
      </c>
      <c r="O27" s="279" t="s">
        <v>28</v>
      </c>
      <c r="P27" s="279"/>
      <c r="Q27" s="279"/>
      <c r="R27" s="270">
        <f>T27/12</f>
        <v>0</v>
      </c>
      <c r="S27" s="270"/>
      <c r="T27" s="375"/>
    </row>
    <row r="28" spans="1:21" s="269" customFormat="1" ht="18" x14ac:dyDescent="0.4">
      <c r="A28" s="262"/>
      <c r="B28" s="262"/>
      <c r="C28" s="266"/>
      <c r="D28" s="266"/>
      <c r="E28" s="266"/>
      <c r="F28" s="265"/>
      <c r="G28" s="265"/>
      <c r="H28" s="268"/>
      <c r="L28" s="290"/>
      <c r="N28" s="262"/>
      <c r="O28" s="266"/>
      <c r="P28" s="266"/>
      <c r="Q28" s="266"/>
      <c r="R28" s="265"/>
      <c r="S28" s="265"/>
      <c r="T28" s="268"/>
    </row>
    <row r="29" spans="1:21" s="380" customFormat="1" ht="23" x14ac:dyDescent="0.5">
      <c r="A29" s="389"/>
      <c r="B29" s="379" t="s">
        <v>117</v>
      </c>
      <c r="C29" s="378"/>
      <c r="D29" s="379"/>
      <c r="E29" s="379"/>
      <c r="F29" s="377"/>
      <c r="G29" s="377"/>
      <c r="H29" s="390">
        <f ca="1">H22-H25-H27</f>
        <v>48882.695979769829</v>
      </c>
      <c r="L29" s="381"/>
      <c r="N29" s="391" t="s">
        <v>117</v>
      </c>
      <c r="O29" s="389"/>
      <c r="P29" s="391"/>
      <c r="Q29" s="391"/>
      <c r="R29" s="392"/>
      <c r="S29" s="392"/>
      <c r="T29" s="393">
        <f ca="1">T22-T25-T27</f>
        <v>33271.048203726932</v>
      </c>
    </row>
    <row r="30" spans="1:21" x14ac:dyDescent="0.35">
      <c r="C30" s="266"/>
      <c r="D30" s="266"/>
      <c r="E30" s="266"/>
      <c r="F30" s="265"/>
      <c r="G30" s="265"/>
      <c r="H30" s="268"/>
      <c r="O30" s="266"/>
      <c r="P30" s="266"/>
      <c r="Q30" s="266"/>
      <c r="R30" s="265"/>
      <c r="S30" s="265"/>
      <c r="T30" s="268"/>
    </row>
    <row r="31" spans="1:21" s="274" customFormat="1" ht="20" x14ac:dyDescent="0.4">
      <c r="A31" s="269"/>
      <c r="B31" s="269" t="s">
        <v>25</v>
      </c>
      <c r="C31" s="279" t="s">
        <v>114</v>
      </c>
      <c r="D31" s="279"/>
      <c r="E31" s="279"/>
      <c r="F31" s="270">
        <f ca="1">H31/12</f>
        <v>1357.8526661047174</v>
      </c>
      <c r="G31" s="270"/>
      <c r="H31" s="282">
        <f ca="1">D5/(D5+1)*(H22-H27-H25)</f>
        <v>16294.23199325661</v>
      </c>
      <c r="L31" s="295"/>
      <c r="N31" s="269" t="s">
        <v>25</v>
      </c>
      <c r="O31" s="279" t="s">
        <v>125</v>
      </c>
      <c r="P31" s="279"/>
      <c r="Q31" s="279"/>
      <c r="R31" s="270"/>
      <c r="S31" s="270"/>
      <c r="U31" s="282">
        <f ca="1">0.3*(T29)</f>
        <v>9981.3144611180796</v>
      </c>
    </row>
    <row r="32" spans="1:21" x14ac:dyDescent="0.35">
      <c r="C32" s="266" t="s">
        <v>115</v>
      </c>
      <c r="D32" s="266"/>
      <c r="E32" s="266"/>
      <c r="F32" s="265"/>
      <c r="G32" s="265"/>
      <c r="H32" s="265"/>
      <c r="O32" s="266" t="s">
        <v>115</v>
      </c>
      <c r="P32" s="266"/>
      <c r="Q32" s="266"/>
      <c r="R32" s="265"/>
      <c r="S32" s="265"/>
      <c r="T32" s="265"/>
    </row>
    <row r="33" spans="1:20" x14ac:dyDescent="0.35">
      <c r="C33" s="266"/>
      <c r="D33" s="266"/>
      <c r="E33" s="266"/>
      <c r="F33" s="265"/>
      <c r="G33" s="265"/>
      <c r="H33" s="376"/>
      <c r="K33" s="267"/>
      <c r="L33" s="303"/>
      <c r="M33" s="304"/>
      <c r="O33" s="266"/>
      <c r="P33" s="266"/>
      <c r="Q33" s="266"/>
      <c r="R33" s="265"/>
      <c r="S33" s="265"/>
      <c r="T33" s="376"/>
    </row>
    <row r="34" spans="1:20" ht="23" x14ac:dyDescent="0.5">
      <c r="A34" s="274"/>
      <c r="B34" s="378" t="s">
        <v>23</v>
      </c>
      <c r="C34" s="379" t="s">
        <v>120</v>
      </c>
      <c r="D34" s="379"/>
      <c r="E34" s="379"/>
      <c r="F34" s="377">
        <f ca="1">H34/12</f>
        <v>2715.7053322094348</v>
      </c>
      <c r="G34" s="377"/>
      <c r="H34" s="395">
        <f ca="1">H22-H31-H27-H25</f>
        <v>32588.463986513219</v>
      </c>
      <c r="I34" s="380"/>
      <c r="J34" s="380"/>
      <c r="K34" s="380"/>
      <c r="L34" s="381"/>
      <c r="M34" s="380"/>
      <c r="N34" s="378" t="s">
        <v>23</v>
      </c>
      <c r="O34" s="379" t="s">
        <v>120</v>
      </c>
      <c r="P34" s="379"/>
      <c r="Q34" s="379"/>
      <c r="R34" s="377">
        <f ca="1">T34/12</f>
        <v>2772.5873508307795</v>
      </c>
      <c r="S34" s="377"/>
      <c r="T34" s="395">
        <f ca="1">T22-T25-T27</f>
        <v>33271.048203726932</v>
      </c>
    </row>
    <row r="35" spans="1:20" ht="17.5" customHeight="1" x14ac:dyDescent="0.35">
      <c r="C35" s="266"/>
      <c r="D35" s="266"/>
      <c r="E35" s="266"/>
      <c r="F35" s="265"/>
      <c r="G35" s="265"/>
      <c r="H35" s="265"/>
    </row>
    <row r="36" spans="1:20" ht="17.5" customHeight="1" x14ac:dyDescent="0.35">
      <c r="C36" s="266"/>
      <c r="D36" s="266"/>
      <c r="E36" s="266"/>
      <c r="F36" s="265"/>
      <c r="G36" s="265"/>
      <c r="H36" s="265"/>
    </row>
    <row r="37" spans="1:20" s="382" customFormat="1" ht="17.5" customHeight="1" x14ac:dyDescent="0.45">
      <c r="C37" s="383" t="s">
        <v>131</v>
      </c>
      <c r="D37" s="384">
        <f>VLOOKUP(D4,'2027 Minister Salary Table'!$B4:$E44,2,FALSE)</f>
        <v>56303.303522512753</v>
      </c>
      <c r="E37" s="383"/>
      <c r="F37" s="385"/>
      <c r="G37" s="385"/>
      <c r="H37" s="383"/>
      <c r="L37" s="386"/>
      <c r="O37" s="383" t="s">
        <v>131</v>
      </c>
      <c r="Q37" s="383"/>
      <c r="R37" s="384">
        <f>VLOOKUP(P4,'2027 Minister Salary Table'!$B4:$E44,2,FALSE)</f>
        <v>52360.812739246045</v>
      </c>
      <c r="S37" s="385"/>
      <c r="T37" s="383"/>
    </row>
    <row r="38" spans="1:20" s="382" customFormat="1" ht="17.5" customHeight="1" x14ac:dyDescent="0.45">
      <c r="C38" s="383" t="s">
        <v>132</v>
      </c>
      <c r="D38" s="387">
        <f ca="1">H34/D37</f>
        <v>0.57880198758644408</v>
      </c>
      <c r="E38" s="383"/>
      <c r="F38" s="385"/>
      <c r="G38" s="385"/>
      <c r="H38" s="385"/>
      <c r="L38" s="386"/>
      <c r="O38" s="383" t="s">
        <v>132</v>
      </c>
      <c r="R38" s="387">
        <f ca="1">T34/R37</f>
        <v>0.63541886504731915</v>
      </c>
    </row>
    <row r="39" spans="1:20" x14ac:dyDescent="0.35">
      <c r="C39" s="266"/>
      <c r="D39" s="266"/>
      <c r="E39" s="266"/>
      <c r="F39" s="265"/>
      <c r="G39" s="265"/>
      <c r="H39" s="265"/>
    </row>
    <row r="41" spans="1:20" ht="27" customHeight="1" x14ac:dyDescent="0.35">
      <c r="B41" s="305" t="s">
        <v>108</v>
      </c>
      <c r="C41" s="406" t="s">
        <v>118</v>
      </c>
      <c r="D41" s="407"/>
      <c r="E41" s="407"/>
      <c r="F41" s="407"/>
      <c r="G41" s="407"/>
      <c r="H41" s="408"/>
      <c r="N41" s="305" t="s">
        <v>108</v>
      </c>
      <c r="O41" s="406" t="s">
        <v>118</v>
      </c>
      <c r="P41" s="407"/>
      <c r="Q41" s="407"/>
      <c r="R41" s="407"/>
      <c r="S41" s="407"/>
      <c r="T41" s="408"/>
    </row>
    <row r="42" spans="1:20" ht="18" customHeight="1" x14ac:dyDescent="0.35">
      <c r="C42" s="409"/>
      <c r="D42" s="410"/>
      <c r="E42" s="410"/>
      <c r="F42" s="410"/>
      <c r="G42" s="410"/>
      <c r="H42" s="411"/>
      <c r="O42" s="409"/>
      <c r="P42" s="410"/>
      <c r="Q42" s="410"/>
      <c r="R42" s="410"/>
      <c r="S42" s="410"/>
      <c r="T42" s="411"/>
    </row>
    <row r="43" spans="1:20" ht="18" customHeight="1" x14ac:dyDescent="0.35">
      <c r="C43" s="409"/>
      <c r="D43" s="410"/>
      <c r="E43" s="410"/>
      <c r="F43" s="410"/>
      <c r="G43" s="410"/>
      <c r="H43" s="411"/>
      <c r="O43" s="409"/>
      <c r="P43" s="410"/>
      <c r="Q43" s="410"/>
      <c r="R43" s="410"/>
      <c r="S43" s="410"/>
      <c r="T43" s="411"/>
    </row>
    <row r="44" spans="1:20" ht="35.5" customHeight="1" x14ac:dyDescent="0.35">
      <c r="C44" s="412"/>
      <c r="D44" s="413"/>
      <c r="E44" s="413"/>
      <c r="F44" s="413"/>
      <c r="G44" s="413"/>
      <c r="H44" s="414"/>
      <c r="O44" s="412"/>
      <c r="P44" s="413"/>
      <c r="Q44" s="413"/>
      <c r="R44" s="413"/>
      <c r="S44" s="413"/>
      <c r="T44" s="414"/>
    </row>
  </sheetData>
  <mergeCells count="9">
    <mergeCell ref="C41:H44"/>
    <mergeCell ref="O41:T44"/>
    <mergeCell ref="C2:H2"/>
    <mergeCell ref="O2:T2"/>
    <mergeCell ref="B4:C4"/>
    <mergeCell ref="N4:O4"/>
    <mergeCell ref="B5:C5"/>
    <mergeCell ref="B22:E22"/>
    <mergeCell ref="N22:Q22"/>
  </mergeCells>
  <pageMargins left="0.7" right="0.7" top="0.75" bottom="0.75" header="0.3" footer="0.3"/>
  <pageSetup scale="85" fitToWidth="0" orientation="portrait" horizontalDpi="4294967293" verticalDpi="4294967293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98D0-0E5E-49D3-935D-27E10CECBB64}">
  <dimension ref="A2:R45"/>
  <sheetViews>
    <sheetView topLeftCell="A2" zoomScaleNormal="100" workbookViewId="0">
      <selection activeCell="B5" sqref="B5"/>
    </sheetView>
  </sheetViews>
  <sheetFormatPr defaultColWidth="12.1796875" defaultRowHeight="13" x14ac:dyDescent="0.3"/>
  <cols>
    <col min="1" max="1" width="8.81640625" style="244" customWidth="1"/>
    <col min="2" max="2" width="9.1796875" style="244" customWidth="1"/>
    <col min="3" max="3" width="8.54296875" style="259" customWidth="1"/>
    <col min="4" max="4" width="2.90625" style="1" hidden="1" customWidth="1"/>
    <col min="5" max="5" width="11.26953125" style="260" customWidth="1"/>
    <col min="6" max="6" width="9.7265625" style="1" hidden="1" customWidth="1"/>
    <col min="7" max="7" width="10.1796875" style="1" hidden="1" customWidth="1"/>
    <col min="8" max="8" width="13" style="1" hidden="1" customWidth="1"/>
    <col min="9" max="9" width="12.1796875" style="1"/>
    <col min="10" max="10" width="5.54296875" style="1" customWidth="1"/>
    <col min="11" max="11" width="8.7265625" style="1" customWidth="1"/>
    <col min="12" max="12" width="12.453125" style="1" customWidth="1"/>
    <col min="13" max="13" width="5.453125" style="1" customWidth="1"/>
    <col min="14" max="14" width="8.81640625" style="1" customWidth="1"/>
    <col min="15" max="15" width="12.453125" style="1" customWidth="1"/>
    <col min="16" max="16384" width="12.1796875" style="1"/>
  </cols>
  <sheetData>
    <row r="2" spans="1:18" ht="38.5" customHeight="1" x14ac:dyDescent="0.3">
      <c r="B2" s="420" t="s">
        <v>62</v>
      </c>
      <c r="C2" s="420"/>
      <c r="E2" s="245" t="s">
        <v>158</v>
      </c>
      <c r="J2" s="223"/>
      <c r="K2" s="421" t="s">
        <v>100</v>
      </c>
      <c r="L2" s="421"/>
      <c r="M2" s="421"/>
      <c r="N2" s="421"/>
      <c r="O2" s="421"/>
      <c r="P2" s="421"/>
      <c r="Q2" s="223"/>
      <c r="R2" s="223"/>
    </row>
    <row r="3" spans="1:18" s="225" customFormat="1" ht="39" x14ac:dyDescent="0.3">
      <c r="A3" s="225" t="s">
        <v>64</v>
      </c>
      <c r="B3" s="225" t="s">
        <v>10</v>
      </c>
      <c r="C3" s="246" t="s">
        <v>65</v>
      </c>
      <c r="E3" s="247" t="s">
        <v>67</v>
      </c>
      <c r="F3" s="225" t="s">
        <v>72</v>
      </c>
      <c r="G3" s="225" t="s">
        <v>73</v>
      </c>
      <c r="H3" s="225" t="s">
        <v>74</v>
      </c>
      <c r="J3" s="1" t="s">
        <v>75</v>
      </c>
      <c r="K3" s="226" t="s">
        <v>76</v>
      </c>
      <c r="L3" s="1" t="s">
        <v>77</v>
      </c>
      <c r="M3" s="225" t="s">
        <v>75</v>
      </c>
      <c r="N3" s="225" t="s">
        <v>78</v>
      </c>
      <c r="O3" s="225" t="s">
        <v>79</v>
      </c>
    </row>
    <row r="4" spans="1:18" ht="14" x14ac:dyDescent="0.3">
      <c r="A4" s="244" t="s">
        <v>80</v>
      </c>
      <c r="B4" s="248">
        <v>2027</v>
      </c>
      <c r="C4" s="249">
        <v>46573</v>
      </c>
      <c r="D4" s="233"/>
      <c r="E4" s="250">
        <f t="shared" ref="E4:E44" si="0">SUM(C4*K4)+C4</f>
        <v>48477.835700000003</v>
      </c>
      <c r="F4" s="228">
        <f t="shared" ref="F4:F44" si="1">SUM(E4*0.5)</f>
        <v>24238.917850000002</v>
      </c>
      <c r="G4" s="228">
        <f t="shared" ref="G4:G44" si="2">SUM(E4+F4)*0.0765</f>
        <v>5562.8316465750004</v>
      </c>
      <c r="H4" s="251">
        <f t="shared" ref="H4:H44" si="3">SUM(E4+F4+G4)</f>
        <v>78279.585196575004</v>
      </c>
      <c r="J4" s="1">
        <v>0</v>
      </c>
      <c r="K4" s="7">
        <v>4.0899999999999999E-2</v>
      </c>
      <c r="L4" s="9">
        <f>((0.0409-0.023)/40)</f>
        <v>4.4749999999999998E-4</v>
      </c>
      <c r="M4" s="1">
        <v>0</v>
      </c>
      <c r="N4" s="7"/>
      <c r="O4" s="9"/>
    </row>
    <row r="5" spans="1:18" x14ac:dyDescent="0.3">
      <c r="A5" s="244">
        <v>1</v>
      </c>
      <c r="B5" s="244">
        <f t="shared" ref="B5:B44" si="4">B4-1</f>
        <v>2026</v>
      </c>
      <c r="C5" s="252">
        <f t="shared" ref="C5:C44" si="5">SUM(C4*N5)+C4</f>
        <v>47411.313999999998</v>
      </c>
      <c r="D5" s="233"/>
      <c r="E5" s="253">
        <f t="shared" si="0"/>
        <v>49329.220179584998</v>
      </c>
      <c r="F5" s="228">
        <f t="shared" si="1"/>
        <v>24664.610089792499</v>
      </c>
      <c r="G5" s="228">
        <f t="shared" si="2"/>
        <v>5660.5280156073786</v>
      </c>
      <c r="H5" s="233">
        <f t="shared" si="3"/>
        <v>79654.35828498489</v>
      </c>
      <c r="J5" s="1">
        <v>1</v>
      </c>
      <c r="K5" s="7">
        <f t="shared" ref="K5:K44" si="6">K4-$L$4</f>
        <v>4.0452500000000002E-2</v>
      </c>
      <c r="L5" s="234"/>
      <c r="M5" s="1">
        <v>1</v>
      </c>
      <c r="N5" s="7">
        <v>1.7999999999999999E-2</v>
      </c>
      <c r="O5" s="9">
        <f>((0.02-0.005)/40)</f>
        <v>3.7500000000000001E-4</v>
      </c>
    </row>
    <row r="6" spans="1:18" x14ac:dyDescent="0.3">
      <c r="A6" s="244">
        <v>2</v>
      </c>
      <c r="B6" s="244">
        <f t="shared" si="4"/>
        <v>2025</v>
      </c>
      <c r="C6" s="252">
        <f t="shared" si="5"/>
        <v>48246.938409249997</v>
      </c>
      <c r="D6" s="233"/>
      <c r="E6" s="253">
        <f t="shared" si="0"/>
        <v>50177.05718031204</v>
      </c>
      <c r="F6" s="228">
        <f t="shared" si="1"/>
        <v>25088.52859015602</v>
      </c>
      <c r="G6" s="228">
        <f t="shared" si="2"/>
        <v>5757.8173114408055</v>
      </c>
      <c r="H6" s="233">
        <f t="shared" si="3"/>
        <v>81023.403081908851</v>
      </c>
      <c r="J6" s="1">
        <v>2</v>
      </c>
      <c r="K6" s="7">
        <f t="shared" si="6"/>
        <v>4.0004999999999999E-2</v>
      </c>
      <c r="M6" s="1">
        <v>2</v>
      </c>
      <c r="N6" s="7">
        <f t="shared" ref="N6:N44" si="7">N5-$O$5</f>
        <v>1.7624999999999998E-2</v>
      </c>
    </row>
    <row r="7" spans="1:18" x14ac:dyDescent="0.3">
      <c r="A7" s="244">
        <v>3</v>
      </c>
      <c r="B7" s="244">
        <f t="shared" si="4"/>
        <v>2024</v>
      </c>
      <c r="C7" s="252">
        <f t="shared" si="5"/>
        <v>49079.19809680956</v>
      </c>
      <c r="D7" s="233"/>
      <c r="E7" s="253">
        <f t="shared" si="0"/>
        <v>51020.648475524104</v>
      </c>
      <c r="F7" s="228">
        <f t="shared" si="1"/>
        <v>25510.324237762052</v>
      </c>
      <c r="G7" s="228">
        <f t="shared" si="2"/>
        <v>5854.6194125663915</v>
      </c>
      <c r="H7" s="233">
        <f t="shared" si="3"/>
        <v>82385.592125852549</v>
      </c>
      <c r="J7" s="1">
        <v>3</v>
      </c>
      <c r="K7" s="7">
        <f t="shared" si="6"/>
        <v>3.9557499999999995E-2</v>
      </c>
      <c r="M7" s="1">
        <v>3</v>
      </c>
      <c r="N7" s="7">
        <f t="shared" si="7"/>
        <v>1.7249999999999998E-2</v>
      </c>
    </row>
    <row r="8" spans="1:18" x14ac:dyDescent="0.3">
      <c r="A8" s="244">
        <v>4</v>
      </c>
      <c r="B8" s="244">
        <f t="shared" si="4"/>
        <v>2023</v>
      </c>
      <c r="C8" s="252">
        <f t="shared" si="5"/>
        <v>49907.409564693218</v>
      </c>
      <c r="D8" s="233"/>
      <c r="E8" s="253">
        <f t="shared" si="0"/>
        <v>51859.288352768366</v>
      </c>
      <c r="F8" s="228">
        <f t="shared" si="1"/>
        <v>25929.644176384183</v>
      </c>
      <c r="G8" s="228">
        <f t="shared" si="2"/>
        <v>5950.8533384801694</v>
      </c>
      <c r="H8" s="233">
        <f t="shared" si="3"/>
        <v>83739.785867632716</v>
      </c>
      <c r="J8" s="1">
        <v>4</v>
      </c>
      <c r="K8" s="7">
        <f t="shared" si="6"/>
        <v>3.9109999999999992E-2</v>
      </c>
      <c r="M8" s="1">
        <v>4</v>
      </c>
      <c r="N8" s="7">
        <f t="shared" si="7"/>
        <v>1.6874999999999998E-2</v>
      </c>
    </row>
    <row r="9" spans="1:18" s="240" customFormat="1" x14ac:dyDescent="0.3">
      <c r="A9" s="254">
        <v>5</v>
      </c>
      <c r="B9" s="254">
        <f t="shared" si="4"/>
        <v>2022</v>
      </c>
      <c r="C9" s="255">
        <f t="shared" si="5"/>
        <v>50730.881822510659</v>
      </c>
      <c r="D9" s="239"/>
      <c r="E9" s="256">
        <f t="shared" si="0"/>
        <v>52692.264540973476</v>
      </c>
      <c r="F9" s="236">
        <f t="shared" si="1"/>
        <v>26346.132270486738</v>
      </c>
      <c r="G9" s="238">
        <f t="shared" si="2"/>
        <v>6046.4373560767062</v>
      </c>
      <c r="H9" s="239">
        <f t="shared" si="3"/>
        <v>85084.83416753693</v>
      </c>
      <c r="J9" s="240">
        <v>5</v>
      </c>
      <c r="K9" s="241">
        <f t="shared" si="6"/>
        <v>3.8662499999999989E-2</v>
      </c>
      <c r="M9" s="240">
        <v>5</v>
      </c>
      <c r="N9" s="241">
        <f t="shared" si="7"/>
        <v>1.6499999999999997E-2</v>
      </c>
      <c r="P9" s="240">
        <f>C9/C4</f>
        <v>1.089276658632913</v>
      </c>
    </row>
    <row r="10" spans="1:18" x14ac:dyDescent="0.3">
      <c r="A10" s="244">
        <v>6</v>
      </c>
      <c r="B10" s="257">
        <f t="shared" si="4"/>
        <v>2021</v>
      </c>
      <c r="C10" s="252">
        <f t="shared" si="5"/>
        <v>51548.917291898644</v>
      </c>
      <c r="D10" s="233"/>
      <c r="E10" s="253">
        <f t="shared" si="0"/>
        <v>53518.859166208553</v>
      </c>
      <c r="F10" s="228">
        <f t="shared" si="1"/>
        <v>26759.429583104276</v>
      </c>
      <c r="G10" s="228">
        <f t="shared" si="2"/>
        <v>6141.2890893224321</v>
      </c>
      <c r="H10" s="233">
        <f t="shared" si="3"/>
        <v>86419.577838635276</v>
      </c>
      <c r="J10" s="1">
        <v>6</v>
      </c>
      <c r="K10" s="7">
        <f t="shared" si="6"/>
        <v>3.8214999999999985E-2</v>
      </c>
      <c r="M10" s="1">
        <v>6</v>
      </c>
      <c r="N10" s="7">
        <f t="shared" si="7"/>
        <v>1.6124999999999997E-2</v>
      </c>
    </row>
    <row r="11" spans="1:18" x14ac:dyDescent="0.3">
      <c r="A11" s="244">
        <v>7</v>
      </c>
      <c r="B11" s="244">
        <f t="shared" si="4"/>
        <v>2020</v>
      </c>
      <c r="C11" s="252">
        <f t="shared" si="5"/>
        <v>52360.812739246045</v>
      </c>
      <c r="D11" s="233"/>
      <c r="E11" s="253">
        <f t="shared" si="0"/>
        <v>54338.349734375515</v>
      </c>
      <c r="F11" s="228">
        <f t="shared" si="1"/>
        <v>27169.174867187758</v>
      </c>
      <c r="G11" s="228">
        <f t="shared" si="2"/>
        <v>6235.3256320195906</v>
      </c>
      <c r="H11" s="233">
        <f t="shared" si="3"/>
        <v>87742.850233582867</v>
      </c>
      <c r="J11" s="1">
        <v>7</v>
      </c>
      <c r="K11" s="7">
        <f t="shared" si="6"/>
        <v>3.7767499999999982E-2</v>
      </c>
      <c r="M11" s="1">
        <v>7</v>
      </c>
      <c r="N11" s="7">
        <f t="shared" si="7"/>
        <v>1.5749999999999997E-2</v>
      </c>
    </row>
    <row r="12" spans="1:18" x14ac:dyDescent="0.3">
      <c r="A12" s="244">
        <v>8</v>
      </c>
      <c r="B12" s="244">
        <f t="shared" si="4"/>
        <v>2019</v>
      </c>
      <c r="C12" s="252">
        <f t="shared" si="5"/>
        <v>53165.860235111955</v>
      </c>
      <c r="D12" s="233"/>
      <c r="E12" s="253">
        <f t="shared" si="0"/>
        <v>55150.010139086335</v>
      </c>
      <c r="F12" s="228">
        <f t="shared" si="1"/>
        <v>27575.005069543167</v>
      </c>
      <c r="G12" s="228">
        <f t="shared" si="2"/>
        <v>6328.4636634601566</v>
      </c>
      <c r="H12" s="233">
        <f t="shared" si="3"/>
        <v>89053.478872089661</v>
      </c>
      <c r="J12" s="1">
        <v>8</v>
      </c>
      <c r="K12" s="7">
        <f t="shared" si="6"/>
        <v>3.7319999999999978E-2</v>
      </c>
      <c r="M12" s="1">
        <v>8</v>
      </c>
      <c r="N12" s="7">
        <f t="shared" si="7"/>
        <v>1.5374999999999996E-2</v>
      </c>
    </row>
    <row r="13" spans="1:18" x14ac:dyDescent="0.3">
      <c r="A13" s="244">
        <v>9</v>
      </c>
      <c r="B13" s="244">
        <f t="shared" si="4"/>
        <v>2018</v>
      </c>
      <c r="C13" s="252">
        <f t="shared" si="5"/>
        <v>53963.348138638634</v>
      </c>
      <c r="D13" s="233"/>
      <c r="E13" s="253">
        <f t="shared" si="0"/>
        <v>55953.111692880586</v>
      </c>
      <c r="F13" s="228">
        <f t="shared" si="1"/>
        <v>27976.555846440293</v>
      </c>
      <c r="G13" s="228">
        <f t="shared" si="2"/>
        <v>6420.6195667580478</v>
      </c>
      <c r="H13" s="233">
        <f t="shared" si="3"/>
        <v>90350.287106078933</v>
      </c>
      <c r="J13" s="1">
        <v>9</v>
      </c>
      <c r="K13" s="7">
        <f t="shared" si="6"/>
        <v>3.6872499999999975E-2</v>
      </c>
      <c r="M13" s="1">
        <v>9</v>
      </c>
      <c r="N13" s="7">
        <f t="shared" si="7"/>
        <v>1.4999999999999996E-2</v>
      </c>
    </row>
    <row r="14" spans="1:18" s="235" customFormat="1" x14ac:dyDescent="0.3">
      <c r="A14" s="254">
        <v>10</v>
      </c>
      <c r="B14" s="254">
        <f t="shared" si="4"/>
        <v>2017</v>
      </c>
      <c r="C14" s="255">
        <f t="shared" si="5"/>
        <v>54752.562105166224</v>
      </c>
      <c r="D14" s="239"/>
      <c r="E14" s="258">
        <f t="shared" si="0"/>
        <v>56746.924179846901</v>
      </c>
      <c r="F14" s="236">
        <f t="shared" si="1"/>
        <v>28373.462089923451</v>
      </c>
      <c r="G14" s="236">
        <f t="shared" si="2"/>
        <v>6511.7095496374322</v>
      </c>
      <c r="H14" s="239">
        <f t="shared" si="3"/>
        <v>91632.095819407798</v>
      </c>
      <c r="J14" s="235">
        <v>10</v>
      </c>
      <c r="K14" s="242">
        <f t="shared" si="6"/>
        <v>3.6424999999999971E-2</v>
      </c>
      <c r="M14" s="235">
        <v>10</v>
      </c>
      <c r="N14" s="242">
        <f t="shared" si="7"/>
        <v>1.4624999999999996E-2</v>
      </c>
    </row>
    <row r="15" spans="1:18" x14ac:dyDescent="0.3">
      <c r="A15" s="244">
        <v>11</v>
      </c>
      <c r="B15" s="257">
        <f t="shared" si="4"/>
        <v>2016</v>
      </c>
      <c r="C15" s="252">
        <f t="shared" si="5"/>
        <v>55532.786115164839</v>
      </c>
      <c r="D15" s="233"/>
      <c r="E15" s="253">
        <f t="shared" si="0"/>
        <v>57530.71692762318</v>
      </c>
      <c r="F15" s="228">
        <f t="shared" si="1"/>
        <v>28765.35846381159</v>
      </c>
      <c r="G15" s="228">
        <f t="shared" si="2"/>
        <v>6601.6497674447601</v>
      </c>
      <c r="H15" s="233">
        <f t="shared" si="3"/>
        <v>92897.725158879533</v>
      </c>
      <c r="J15" s="1">
        <v>11</v>
      </c>
      <c r="K15" s="7">
        <f t="shared" si="6"/>
        <v>3.5977499999999968E-2</v>
      </c>
      <c r="M15" s="1">
        <v>11</v>
      </c>
      <c r="N15" s="7">
        <f t="shared" si="7"/>
        <v>1.4249999999999995E-2</v>
      </c>
    </row>
    <row r="16" spans="1:18" x14ac:dyDescent="0.3">
      <c r="A16" s="244">
        <v>12</v>
      </c>
      <c r="B16" s="244">
        <f t="shared" si="4"/>
        <v>2015</v>
      </c>
      <c r="C16" s="252">
        <f t="shared" si="5"/>
        <v>56303.303522512753</v>
      </c>
      <c r="D16" s="233"/>
      <c r="E16" s="253">
        <f t="shared" si="0"/>
        <v>58303.759896667631</v>
      </c>
      <c r="F16" s="228">
        <f t="shared" si="1"/>
        <v>29151.879948333815</v>
      </c>
      <c r="G16" s="228">
        <f t="shared" si="2"/>
        <v>6690.356448142611</v>
      </c>
      <c r="H16" s="233">
        <f t="shared" si="3"/>
        <v>94145.996293144068</v>
      </c>
      <c r="J16" s="1">
        <v>12</v>
      </c>
      <c r="K16" s="7">
        <f t="shared" si="6"/>
        <v>3.5529999999999964E-2</v>
      </c>
      <c r="M16" s="1">
        <v>12</v>
      </c>
      <c r="N16" s="7">
        <f t="shared" si="7"/>
        <v>1.3874999999999995E-2</v>
      </c>
    </row>
    <row r="17" spans="1:14" x14ac:dyDescent="0.3">
      <c r="A17" s="244">
        <v>13</v>
      </c>
      <c r="B17" s="244">
        <f t="shared" si="4"/>
        <v>2014</v>
      </c>
      <c r="C17" s="252">
        <f t="shared" si="5"/>
        <v>57063.398120066675</v>
      </c>
      <c r="D17" s="233"/>
      <c r="E17" s="253">
        <f t="shared" si="0"/>
        <v>59065.324784613913</v>
      </c>
      <c r="F17" s="228">
        <f t="shared" si="1"/>
        <v>29532.662392306956</v>
      </c>
      <c r="G17" s="228">
        <f t="shared" si="2"/>
        <v>6777.7460190344464</v>
      </c>
      <c r="H17" s="233">
        <f t="shared" si="3"/>
        <v>95375.733195955312</v>
      </c>
      <c r="J17" s="1">
        <v>13</v>
      </c>
      <c r="K17" s="7">
        <f t="shared" si="6"/>
        <v>3.5082499999999961E-2</v>
      </c>
      <c r="M17" s="1">
        <v>13</v>
      </c>
      <c r="N17" s="7">
        <f t="shared" si="7"/>
        <v>1.3499999999999995E-2</v>
      </c>
    </row>
    <row r="18" spans="1:14" x14ac:dyDescent="0.3">
      <c r="A18" s="244">
        <v>14</v>
      </c>
      <c r="B18" s="244">
        <f t="shared" si="4"/>
        <v>2013</v>
      </c>
      <c r="C18" s="252">
        <f t="shared" si="5"/>
        <v>57812.35522039255</v>
      </c>
      <c r="D18" s="233"/>
      <c r="E18" s="253">
        <f t="shared" si="0"/>
        <v>59814.686143450846</v>
      </c>
      <c r="F18" s="228">
        <f t="shared" si="1"/>
        <v>29907.343071725423</v>
      </c>
      <c r="G18" s="228">
        <f t="shared" si="2"/>
        <v>6863.7352349609846</v>
      </c>
      <c r="H18" s="233">
        <f t="shared" si="3"/>
        <v>96585.764450137256</v>
      </c>
      <c r="J18" s="1">
        <v>14</v>
      </c>
      <c r="K18" s="7">
        <f t="shared" si="6"/>
        <v>3.4634999999999957E-2</v>
      </c>
      <c r="M18" s="1">
        <v>14</v>
      </c>
      <c r="N18" s="7">
        <f t="shared" si="7"/>
        <v>1.3124999999999994E-2</v>
      </c>
    </row>
    <row r="19" spans="1:14" s="235" customFormat="1" x14ac:dyDescent="0.3">
      <c r="A19" s="254">
        <v>15</v>
      </c>
      <c r="B19" s="254">
        <f t="shared" si="4"/>
        <v>2012</v>
      </c>
      <c r="C19" s="255">
        <f t="shared" si="5"/>
        <v>58549.462749452556</v>
      </c>
      <c r="D19" s="239"/>
      <c r="E19" s="258">
        <f t="shared" si="0"/>
        <v>60551.122507199463</v>
      </c>
      <c r="F19" s="236">
        <f t="shared" si="1"/>
        <v>30275.561253599732</v>
      </c>
      <c r="G19" s="236">
        <f t="shared" si="2"/>
        <v>6948.2413077011379</v>
      </c>
      <c r="H19" s="239">
        <f t="shared" si="3"/>
        <v>97774.925068500335</v>
      </c>
      <c r="J19" s="235">
        <v>15</v>
      </c>
      <c r="K19" s="242">
        <f t="shared" si="6"/>
        <v>3.4187499999999954E-2</v>
      </c>
      <c r="M19" s="235">
        <v>15</v>
      </c>
      <c r="N19" s="242">
        <f t="shared" si="7"/>
        <v>1.2749999999999994E-2</v>
      </c>
    </row>
    <row r="20" spans="1:14" x14ac:dyDescent="0.3">
      <c r="A20" s="244">
        <v>16</v>
      </c>
      <c r="B20" s="257">
        <f t="shared" si="4"/>
        <v>2011</v>
      </c>
      <c r="C20" s="252">
        <f t="shared" si="5"/>
        <v>59274.012350977027</v>
      </c>
      <c r="D20" s="233"/>
      <c r="E20" s="253">
        <f t="shared" si="0"/>
        <v>61273.917527698992</v>
      </c>
      <c r="F20" s="228">
        <f t="shared" si="1"/>
        <v>30636.958763849496</v>
      </c>
      <c r="G20" s="228">
        <f t="shared" si="2"/>
        <v>7031.1820363034585</v>
      </c>
      <c r="H20" s="233">
        <f t="shared" si="3"/>
        <v>98942.058327851948</v>
      </c>
      <c r="J20" s="1">
        <v>16</v>
      </c>
      <c r="K20" s="7">
        <f t="shared" si="6"/>
        <v>3.3739999999999951E-2</v>
      </c>
      <c r="M20" s="1">
        <v>16</v>
      </c>
      <c r="N20" s="7">
        <f t="shared" si="7"/>
        <v>1.2374999999999994E-2</v>
      </c>
    </row>
    <row r="21" spans="1:14" x14ac:dyDescent="0.3">
      <c r="A21" s="244">
        <v>17</v>
      </c>
      <c r="B21" s="244">
        <f t="shared" si="4"/>
        <v>2010</v>
      </c>
      <c r="C21" s="252">
        <f t="shared" si="5"/>
        <v>59985.30049918875</v>
      </c>
      <c r="D21" s="233"/>
      <c r="E21" s="253">
        <f t="shared" si="0"/>
        <v>61982.361116057989</v>
      </c>
      <c r="F21" s="228">
        <f t="shared" si="1"/>
        <v>30991.180558028995</v>
      </c>
      <c r="G21" s="228">
        <f t="shared" si="2"/>
        <v>7112.4759380676542</v>
      </c>
      <c r="H21" s="233">
        <f t="shared" si="3"/>
        <v>100086.01761215464</v>
      </c>
      <c r="J21" s="1">
        <v>17</v>
      </c>
      <c r="K21" s="7">
        <f t="shared" si="6"/>
        <v>3.3292499999999947E-2</v>
      </c>
      <c r="M21" s="1">
        <v>17</v>
      </c>
      <c r="N21" s="7">
        <f t="shared" si="7"/>
        <v>1.1999999999999993E-2</v>
      </c>
    </row>
    <row r="22" spans="1:14" x14ac:dyDescent="0.3">
      <c r="A22" s="244">
        <v>18</v>
      </c>
      <c r="B22" s="244">
        <f t="shared" si="4"/>
        <v>2009</v>
      </c>
      <c r="C22" s="252">
        <f t="shared" si="5"/>
        <v>60682.629617491817</v>
      </c>
      <c r="D22" s="233"/>
      <c r="E22" s="253">
        <f t="shared" si="0"/>
        <v>62675.750587278329</v>
      </c>
      <c r="F22" s="228">
        <f t="shared" si="1"/>
        <v>31337.875293639165</v>
      </c>
      <c r="G22" s="228">
        <f t="shared" si="2"/>
        <v>7192.0423798901875</v>
      </c>
      <c r="H22" s="233">
        <f t="shared" si="3"/>
        <v>101205.66826080768</v>
      </c>
      <c r="J22" s="1">
        <v>18</v>
      </c>
      <c r="K22" s="7">
        <f t="shared" si="6"/>
        <v>3.2844999999999944E-2</v>
      </c>
      <c r="M22" s="1">
        <v>18</v>
      </c>
      <c r="N22" s="7">
        <f t="shared" si="7"/>
        <v>1.1624999999999993E-2</v>
      </c>
    </row>
    <row r="23" spans="1:14" x14ac:dyDescent="0.3">
      <c r="A23" s="244">
        <v>19</v>
      </c>
      <c r="B23" s="244">
        <f t="shared" si="4"/>
        <v>2008</v>
      </c>
      <c r="C23" s="252">
        <f t="shared" si="5"/>
        <v>61365.3092006886</v>
      </c>
      <c r="D23" s="233"/>
      <c r="E23" s="253">
        <f t="shared" si="0"/>
        <v>63353.391805517902</v>
      </c>
      <c r="F23" s="228">
        <f t="shared" si="1"/>
        <v>31676.695902758951</v>
      </c>
      <c r="G23" s="228">
        <f t="shared" si="2"/>
        <v>7269.8017096831791</v>
      </c>
      <c r="H23" s="233">
        <f t="shared" si="3"/>
        <v>102299.88941796003</v>
      </c>
      <c r="J23" s="1">
        <v>19</v>
      </c>
      <c r="K23" s="7">
        <f t="shared" si="6"/>
        <v>3.239749999999994E-2</v>
      </c>
      <c r="M23" s="1">
        <v>19</v>
      </c>
      <c r="N23" s="7">
        <f t="shared" si="7"/>
        <v>1.1249999999999993E-2</v>
      </c>
    </row>
    <row r="24" spans="1:14" s="235" customFormat="1" x14ac:dyDescent="0.3">
      <c r="A24" s="254">
        <v>20</v>
      </c>
      <c r="B24" s="254">
        <f t="shared" si="4"/>
        <v>2007</v>
      </c>
      <c r="C24" s="255">
        <f t="shared" si="5"/>
        <v>62032.656938246088</v>
      </c>
      <c r="D24" s="239"/>
      <c r="E24" s="258">
        <f t="shared" si="0"/>
        <v>64014.600327423046</v>
      </c>
      <c r="F24" s="236">
        <f t="shared" si="1"/>
        <v>32007.300163711523</v>
      </c>
      <c r="G24" s="236">
        <f t="shared" si="2"/>
        <v>7345.6753875717941</v>
      </c>
      <c r="H24" s="239">
        <f t="shared" si="3"/>
        <v>103367.57587870637</v>
      </c>
      <c r="J24" s="235">
        <v>20</v>
      </c>
      <c r="K24" s="242">
        <f t="shared" si="6"/>
        <v>3.1949999999999937E-2</v>
      </c>
      <c r="M24" s="235">
        <v>20</v>
      </c>
      <c r="N24" s="242">
        <f t="shared" si="7"/>
        <v>1.0874999999999992E-2</v>
      </c>
    </row>
    <row r="25" spans="1:14" x14ac:dyDescent="0.3">
      <c r="A25" s="244">
        <v>21</v>
      </c>
      <c r="B25" s="257">
        <f t="shared" si="4"/>
        <v>2006</v>
      </c>
      <c r="C25" s="252">
        <f t="shared" si="5"/>
        <v>62683.999836097668</v>
      </c>
      <c r="D25" s="233"/>
      <c r="E25" s="253">
        <f t="shared" si="0"/>
        <v>64658.702540934333</v>
      </c>
      <c r="F25" s="228">
        <f t="shared" si="1"/>
        <v>32329.351270467167</v>
      </c>
      <c r="G25" s="228">
        <f t="shared" si="2"/>
        <v>7419.5861165722154</v>
      </c>
      <c r="H25" s="233">
        <f t="shared" si="3"/>
        <v>104407.63992797372</v>
      </c>
      <c r="J25" s="1">
        <v>21</v>
      </c>
      <c r="K25" s="7">
        <f t="shared" si="6"/>
        <v>3.1502499999999933E-2</v>
      </c>
      <c r="M25" s="1">
        <v>21</v>
      </c>
      <c r="N25" s="7">
        <f t="shared" si="7"/>
        <v>1.0499999999999992E-2</v>
      </c>
    </row>
    <row r="26" spans="1:14" x14ac:dyDescent="0.3">
      <c r="A26" s="244">
        <v>22</v>
      </c>
      <c r="B26" s="244">
        <f t="shared" si="4"/>
        <v>2005</v>
      </c>
      <c r="C26" s="252">
        <f t="shared" si="5"/>
        <v>63318.675334438158</v>
      </c>
      <c r="D26" s="233"/>
      <c r="E26" s="253">
        <f t="shared" si="0"/>
        <v>65285.036796949127</v>
      </c>
      <c r="F26" s="228">
        <f t="shared" si="1"/>
        <v>32642.518398474564</v>
      </c>
      <c r="G26" s="228">
        <f t="shared" si="2"/>
        <v>7491.4579724499117</v>
      </c>
      <c r="H26" s="233">
        <f t="shared" si="3"/>
        <v>105419.01316787359</v>
      </c>
      <c r="J26" s="1">
        <v>22</v>
      </c>
      <c r="K26" s="7">
        <f t="shared" si="6"/>
        <v>3.1054999999999933E-2</v>
      </c>
      <c r="M26" s="1">
        <v>22</v>
      </c>
      <c r="N26" s="7">
        <f t="shared" si="7"/>
        <v>1.0124999999999992E-2</v>
      </c>
    </row>
    <row r="27" spans="1:14" x14ac:dyDescent="0.3">
      <c r="A27" s="244">
        <v>23</v>
      </c>
      <c r="B27" s="244">
        <f t="shared" si="4"/>
        <v>2004</v>
      </c>
      <c r="C27" s="252">
        <f t="shared" si="5"/>
        <v>63936.032418948933</v>
      </c>
      <c r="D27" s="233"/>
      <c r="E27" s="253">
        <f t="shared" si="0"/>
        <v>65892.954531211901</v>
      </c>
      <c r="F27" s="228">
        <f t="shared" si="1"/>
        <v>32946.47726560595</v>
      </c>
      <c r="G27" s="228">
        <f t="shared" si="2"/>
        <v>7561.2165324565658</v>
      </c>
      <c r="H27" s="233">
        <f t="shared" si="3"/>
        <v>106400.64832927442</v>
      </c>
      <c r="J27" s="1">
        <v>23</v>
      </c>
      <c r="K27" s="7">
        <f t="shared" si="6"/>
        <v>3.0607499999999933E-2</v>
      </c>
      <c r="M27" s="1">
        <v>23</v>
      </c>
      <c r="N27" s="7">
        <f t="shared" si="7"/>
        <v>9.7499999999999913E-3</v>
      </c>
    </row>
    <row r="28" spans="1:14" x14ac:dyDescent="0.3">
      <c r="A28" s="244">
        <v>24</v>
      </c>
      <c r="B28" s="244">
        <f t="shared" si="4"/>
        <v>2003</v>
      </c>
      <c r="C28" s="252">
        <f t="shared" si="5"/>
        <v>64535.432722876576</v>
      </c>
      <c r="D28" s="233"/>
      <c r="E28" s="253">
        <f t="shared" si="0"/>
        <v>66481.821373798535</v>
      </c>
      <c r="F28" s="228">
        <f t="shared" si="1"/>
        <v>33240.910686899268</v>
      </c>
      <c r="G28" s="228">
        <f t="shared" si="2"/>
        <v>7628.7890026433815</v>
      </c>
      <c r="H28" s="233">
        <f t="shared" si="3"/>
        <v>107351.52106334118</v>
      </c>
      <c r="J28" s="1">
        <v>24</v>
      </c>
      <c r="K28" s="7">
        <f t="shared" si="6"/>
        <v>3.0159999999999933E-2</v>
      </c>
      <c r="M28" s="1">
        <v>24</v>
      </c>
      <c r="N28" s="7">
        <f t="shared" si="7"/>
        <v>9.374999999999991E-3</v>
      </c>
    </row>
    <row r="29" spans="1:14" s="235" customFormat="1" x14ac:dyDescent="0.3">
      <c r="A29" s="254">
        <v>25</v>
      </c>
      <c r="B29" s="254">
        <f t="shared" si="4"/>
        <v>2002</v>
      </c>
      <c r="C29" s="255">
        <f t="shared" si="5"/>
        <v>65116.251617382462</v>
      </c>
      <c r="D29" s="239"/>
      <c r="E29" s="258">
        <f t="shared" si="0"/>
        <v>67051.018243563929</v>
      </c>
      <c r="F29" s="236">
        <f t="shared" si="1"/>
        <v>33525.509121781964</v>
      </c>
      <c r="G29" s="236">
        <f t="shared" si="2"/>
        <v>7694.1043434489602</v>
      </c>
      <c r="H29" s="239">
        <f t="shared" si="3"/>
        <v>108270.63170879484</v>
      </c>
      <c r="J29" s="235">
        <v>25</v>
      </c>
      <c r="K29" s="242">
        <f t="shared" si="6"/>
        <v>2.9712499999999933E-2</v>
      </c>
      <c r="M29" s="235">
        <v>25</v>
      </c>
      <c r="N29" s="242">
        <f t="shared" si="7"/>
        <v>8.9999999999999906E-3</v>
      </c>
    </row>
    <row r="30" spans="1:14" x14ac:dyDescent="0.3">
      <c r="A30" s="244">
        <v>26</v>
      </c>
      <c r="B30" s="257">
        <f t="shared" si="4"/>
        <v>2001</v>
      </c>
      <c r="C30" s="252">
        <f t="shared" si="5"/>
        <v>65677.879287582386</v>
      </c>
      <c r="D30" s="233"/>
      <c r="E30" s="253">
        <f t="shared" si="0"/>
        <v>67599.942424933484</v>
      </c>
      <c r="F30" s="228">
        <f t="shared" si="1"/>
        <v>33799.971212466742</v>
      </c>
      <c r="G30" s="228">
        <f t="shared" si="2"/>
        <v>7757.0933932611169</v>
      </c>
      <c r="H30" s="233">
        <f t="shared" si="3"/>
        <v>109157.00703066135</v>
      </c>
      <c r="J30" s="1">
        <v>26</v>
      </c>
      <c r="K30" s="7">
        <f t="shared" si="6"/>
        <v>2.9264999999999933E-2</v>
      </c>
      <c r="M30" s="1">
        <v>26</v>
      </c>
      <c r="N30" s="7">
        <f t="shared" si="7"/>
        <v>8.6249999999999903E-3</v>
      </c>
    </row>
    <row r="31" spans="1:14" x14ac:dyDescent="0.3">
      <c r="A31" s="244">
        <v>27</v>
      </c>
      <c r="B31" s="244">
        <f t="shared" si="4"/>
        <v>2000</v>
      </c>
      <c r="C31" s="252">
        <f t="shared" si="5"/>
        <v>66219.721791704942</v>
      </c>
      <c r="D31" s="233"/>
      <c r="E31" s="253">
        <f t="shared" si="0"/>
        <v>68128.008624437396</v>
      </c>
      <c r="F31" s="228">
        <f t="shared" si="1"/>
        <v>34064.004312218698</v>
      </c>
      <c r="G31" s="228">
        <f t="shared" si="2"/>
        <v>7817.6889896541916</v>
      </c>
      <c r="H31" s="233">
        <f t="shared" si="3"/>
        <v>110009.7019263103</v>
      </c>
      <c r="J31" s="1">
        <v>27</v>
      </c>
      <c r="K31" s="7">
        <f t="shared" si="6"/>
        <v>2.8817499999999933E-2</v>
      </c>
      <c r="M31" s="1">
        <v>27</v>
      </c>
      <c r="N31" s="7">
        <f t="shared" si="7"/>
        <v>8.24999999999999E-3</v>
      </c>
    </row>
    <row r="32" spans="1:14" x14ac:dyDescent="0.3">
      <c r="A32" s="244">
        <v>28</v>
      </c>
      <c r="B32" s="244">
        <f t="shared" si="4"/>
        <v>1999</v>
      </c>
      <c r="C32" s="252">
        <f t="shared" si="5"/>
        <v>66741.202100814611</v>
      </c>
      <c r="D32" s="233"/>
      <c r="E32" s="253">
        <f t="shared" si="0"/>
        <v>68634.650004414711</v>
      </c>
      <c r="F32" s="228">
        <f t="shared" si="1"/>
        <v>34317.325002207355</v>
      </c>
      <c r="G32" s="228">
        <f t="shared" si="2"/>
        <v>7875.8260880065873</v>
      </c>
      <c r="H32" s="233">
        <f t="shared" si="3"/>
        <v>110827.80109462865</v>
      </c>
      <c r="J32" s="1">
        <v>28</v>
      </c>
      <c r="K32" s="7">
        <f t="shared" si="6"/>
        <v>2.8369999999999933E-2</v>
      </c>
      <c r="M32" s="1">
        <v>28</v>
      </c>
      <c r="N32" s="7">
        <f t="shared" si="7"/>
        <v>7.8749999999999896E-3</v>
      </c>
    </row>
    <row r="33" spans="1:14" x14ac:dyDescent="0.3">
      <c r="A33" s="244">
        <v>29</v>
      </c>
      <c r="B33" s="244">
        <f t="shared" si="4"/>
        <v>1998</v>
      </c>
      <c r="C33" s="252">
        <f t="shared" si="5"/>
        <v>67241.76111657072</v>
      </c>
      <c r="D33" s="233"/>
      <c r="E33" s="253">
        <f t="shared" si="0"/>
        <v>69119.319191348157</v>
      </c>
      <c r="F33" s="228">
        <f t="shared" si="1"/>
        <v>34559.659595674078</v>
      </c>
      <c r="G33" s="228">
        <f t="shared" si="2"/>
        <v>7931.4418772072013</v>
      </c>
      <c r="H33" s="233">
        <f t="shared" si="3"/>
        <v>111610.42066422943</v>
      </c>
      <c r="J33" s="1">
        <v>29</v>
      </c>
      <c r="K33" s="7">
        <f t="shared" si="6"/>
        <v>2.7922499999999933E-2</v>
      </c>
      <c r="M33" s="1">
        <v>29</v>
      </c>
      <c r="N33" s="7">
        <f t="shared" si="7"/>
        <v>7.4999999999999893E-3</v>
      </c>
    </row>
    <row r="34" spans="1:14" s="235" customFormat="1" x14ac:dyDescent="0.3">
      <c r="A34" s="254">
        <v>30</v>
      </c>
      <c r="B34" s="254">
        <f t="shared" si="4"/>
        <v>1997</v>
      </c>
      <c r="C34" s="255">
        <f t="shared" si="5"/>
        <v>67720.858664526284</v>
      </c>
      <c r="D34" s="239"/>
      <c r="E34" s="258">
        <f t="shared" si="0"/>
        <v>69581.489256334142</v>
      </c>
      <c r="F34" s="236">
        <f t="shared" si="1"/>
        <v>34790.744628167071</v>
      </c>
      <c r="G34" s="236">
        <f t="shared" si="2"/>
        <v>7984.4758921643424</v>
      </c>
      <c r="H34" s="239">
        <f t="shared" si="3"/>
        <v>112356.70977666555</v>
      </c>
      <c r="J34" s="235">
        <v>30</v>
      </c>
      <c r="K34" s="242">
        <f t="shared" si="6"/>
        <v>2.7474999999999934E-2</v>
      </c>
      <c r="M34" s="235">
        <v>30</v>
      </c>
      <c r="N34" s="242">
        <f t="shared" si="7"/>
        <v>7.124999999999989E-3</v>
      </c>
    </row>
    <row r="35" spans="1:14" x14ac:dyDescent="0.3">
      <c r="A35" s="244">
        <v>31</v>
      </c>
      <c r="B35" s="257">
        <f t="shared" si="4"/>
        <v>1996</v>
      </c>
      <c r="C35" s="252">
        <f t="shared" si="5"/>
        <v>68177.974460511832</v>
      </c>
      <c r="D35" s="233"/>
      <c r="E35" s="253">
        <f t="shared" si="0"/>
        <v>70020.654665243317</v>
      </c>
      <c r="F35" s="228">
        <f t="shared" si="1"/>
        <v>35010.327332621659</v>
      </c>
      <c r="G35" s="228">
        <f t="shared" si="2"/>
        <v>8034.8701228366708</v>
      </c>
      <c r="H35" s="233">
        <f t="shared" si="3"/>
        <v>113065.85212070165</v>
      </c>
      <c r="J35" s="1">
        <v>31</v>
      </c>
      <c r="K35" s="7">
        <f t="shared" si="6"/>
        <v>2.7027499999999934E-2</v>
      </c>
      <c r="M35" s="1">
        <v>31</v>
      </c>
      <c r="N35" s="7">
        <f t="shared" si="7"/>
        <v>6.7499999999999886E-3</v>
      </c>
    </row>
    <row r="36" spans="1:14" x14ac:dyDescent="0.3">
      <c r="A36" s="244">
        <v>32</v>
      </c>
      <c r="B36" s="244">
        <f t="shared" si="4"/>
        <v>1995</v>
      </c>
      <c r="C36" s="252">
        <f t="shared" si="5"/>
        <v>68612.609047697595</v>
      </c>
      <c r="D36" s="233"/>
      <c r="E36" s="253">
        <f t="shared" si="0"/>
        <v>70436.332196185394</v>
      </c>
      <c r="F36" s="228">
        <f t="shared" si="1"/>
        <v>35218.166098092697</v>
      </c>
      <c r="G36" s="228">
        <f t="shared" si="2"/>
        <v>8082.5691195122736</v>
      </c>
      <c r="H36" s="233">
        <f t="shared" si="3"/>
        <v>113737.06741379037</v>
      </c>
      <c r="J36" s="1">
        <v>32</v>
      </c>
      <c r="K36" s="7">
        <f t="shared" si="6"/>
        <v>2.6579999999999934E-2</v>
      </c>
      <c r="M36" s="1">
        <v>32</v>
      </c>
      <c r="N36" s="7">
        <f t="shared" si="7"/>
        <v>6.3749999999999883E-3</v>
      </c>
    </row>
    <row r="37" spans="1:14" x14ac:dyDescent="0.3">
      <c r="A37" s="244">
        <v>33</v>
      </c>
      <c r="B37" s="244">
        <f t="shared" si="4"/>
        <v>1994</v>
      </c>
      <c r="C37" s="252">
        <f t="shared" si="5"/>
        <v>69024.284701983779</v>
      </c>
      <c r="D37" s="233"/>
      <c r="E37" s="253">
        <f t="shared" si="0"/>
        <v>70828.06182195837</v>
      </c>
      <c r="F37" s="228">
        <f t="shared" si="1"/>
        <v>35414.030910979185</v>
      </c>
      <c r="G37" s="228">
        <f t="shared" si="2"/>
        <v>8127.5200940697232</v>
      </c>
      <c r="H37" s="233">
        <f t="shared" si="3"/>
        <v>114369.61282700728</v>
      </c>
      <c r="J37" s="1">
        <v>33</v>
      </c>
      <c r="K37" s="7">
        <f t="shared" si="6"/>
        <v>2.6132499999999934E-2</v>
      </c>
      <c r="M37" s="1">
        <v>33</v>
      </c>
      <c r="N37" s="7">
        <f t="shared" si="7"/>
        <v>5.999999999999988E-3</v>
      </c>
    </row>
    <row r="38" spans="1:14" x14ac:dyDescent="0.3">
      <c r="A38" s="244">
        <v>34</v>
      </c>
      <c r="B38" s="244">
        <f t="shared" si="4"/>
        <v>1993</v>
      </c>
      <c r="C38" s="252">
        <f t="shared" si="5"/>
        <v>69412.546303432435</v>
      </c>
      <c r="D38" s="233"/>
      <c r="E38" s="253">
        <f t="shared" si="0"/>
        <v>71195.407555236088</v>
      </c>
      <c r="F38" s="228">
        <f t="shared" si="1"/>
        <v>35597.703777618044</v>
      </c>
      <c r="G38" s="228">
        <f t="shared" si="2"/>
        <v>8169.673016963342</v>
      </c>
      <c r="H38" s="233">
        <f t="shared" si="3"/>
        <v>114962.78434981748</v>
      </c>
      <c r="J38" s="1">
        <v>34</v>
      </c>
      <c r="K38" s="7">
        <f t="shared" si="6"/>
        <v>2.5684999999999934E-2</v>
      </c>
      <c r="M38" s="1">
        <v>34</v>
      </c>
      <c r="N38" s="7">
        <f t="shared" si="7"/>
        <v>5.6249999999999876E-3</v>
      </c>
    </row>
    <row r="39" spans="1:14" s="235" customFormat="1" x14ac:dyDescent="0.3">
      <c r="A39" s="254">
        <v>35</v>
      </c>
      <c r="B39" s="254">
        <f t="shared" si="4"/>
        <v>1992</v>
      </c>
      <c r="C39" s="255">
        <f t="shared" si="5"/>
        <v>69776.962171525447</v>
      </c>
      <c r="D39" s="239"/>
      <c r="E39" s="258">
        <f t="shared" si="0"/>
        <v>71537.958254329322</v>
      </c>
      <c r="F39" s="236">
        <f t="shared" si="1"/>
        <v>35768.979127164661</v>
      </c>
      <c r="G39" s="236">
        <f t="shared" si="2"/>
        <v>8208.9807096842887</v>
      </c>
      <c r="H39" s="239">
        <f t="shared" si="3"/>
        <v>115515.91809117826</v>
      </c>
      <c r="J39" s="235">
        <v>35</v>
      </c>
      <c r="K39" s="242">
        <f t="shared" si="6"/>
        <v>2.5237499999999934E-2</v>
      </c>
      <c r="M39" s="235">
        <v>35</v>
      </c>
      <c r="N39" s="242">
        <f t="shared" si="7"/>
        <v>5.2499999999999873E-3</v>
      </c>
    </row>
    <row r="40" spans="1:14" x14ac:dyDescent="0.3">
      <c r="A40" s="244">
        <v>36</v>
      </c>
      <c r="B40" s="257">
        <f t="shared" si="4"/>
        <v>1991</v>
      </c>
      <c r="C40" s="252">
        <f t="shared" si="5"/>
        <v>70117.124862111639</v>
      </c>
      <c r="D40" s="233"/>
      <c r="E40" s="253">
        <f t="shared" si="0"/>
        <v>71855.328387443384</v>
      </c>
      <c r="F40" s="228">
        <f t="shared" si="1"/>
        <v>35927.664193721692</v>
      </c>
      <c r="G40" s="228">
        <f t="shared" si="2"/>
        <v>8245.3989324591275</v>
      </c>
      <c r="H40" s="233">
        <f t="shared" si="3"/>
        <v>116028.3915136242</v>
      </c>
      <c r="J40" s="1">
        <v>36</v>
      </c>
      <c r="K40" s="7">
        <f t="shared" si="6"/>
        <v>2.4789999999999934E-2</v>
      </c>
      <c r="M40" s="1">
        <v>36</v>
      </c>
      <c r="N40" s="7">
        <f t="shared" si="7"/>
        <v>4.874999999999987E-3</v>
      </c>
    </row>
    <row r="41" spans="1:14" x14ac:dyDescent="0.3">
      <c r="A41" s="244">
        <v>37</v>
      </c>
      <c r="B41" s="244">
        <f t="shared" si="4"/>
        <v>1990</v>
      </c>
      <c r="C41" s="252">
        <f t="shared" si="5"/>
        <v>70432.651923991143</v>
      </c>
      <c r="D41" s="233"/>
      <c r="E41" s="253">
        <f t="shared" si="0"/>
        <v>72147.158753450887</v>
      </c>
      <c r="F41" s="228">
        <f t="shared" si="1"/>
        <v>36073.579376725444</v>
      </c>
      <c r="G41" s="228">
        <f t="shared" si="2"/>
        <v>8278.8864669584891</v>
      </c>
      <c r="H41" s="233">
        <f t="shared" si="3"/>
        <v>116499.62459713481</v>
      </c>
      <c r="J41" s="1">
        <v>37</v>
      </c>
      <c r="K41" s="7">
        <f t="shared" si="6"/>
        <v>2.4342499999999934E-2</v>
      </c>
      <c r="M41" s="1">
        <v>37</v>
      </c>
      <c r="N41" s="7">
        <f t="shared" si="7"/>
        <v>4.4999999999999866E-3</v>
      </c>
    </row>
    <row r="42" spans="1:14" x14ac:dyDescent="0.3">
      <c r="A42" s="244">
        <v>38</v>
      </c>
      <c r="B42" s="244">
        <f t="shared" si="4"/>
        <v>1989</v>
      </c>
      <c r="C42" s="252">
        <f t="shared" si="5"/>
        <v>70723.186613177604</v>
      </c>
      <c r="D42" s="233"/>
      <c r="E42" s="253">
        <f t="shared" si="0"/>
        <v>72413.117157299479</v>
      </c>
      <c r="F42" s="228">
        <f t="shared" si="1"/>
        <v>36206.55857864974</v>
      </c>
      <c r="G42" s="228">
        <f t="shared" si="2"/>
        <v>8309.4051938001157</v>
      </c>
      <c r="H42" s="233">
        <f t="shared" si="3"/>
        <v>116929.08092974934</v>
      </c>
      <c r="J42" s="1">
        <v>38</v>
      </c>
      <c r="K42" s="7">
        <f t="shared" si="6"/>
        <v>2.3894999999999934E-2</v>
      </c>
      <c r="M42" s="1">
        <v>38</v>
      </c>
      <c r="N42" s="7">
        <f t="shared" si="7"/>
        <v>4.1249999999999863E-3</v>
      </c>
    </row>
    <row r="43" spans="1:14" x14ac:dyDescent="0.3">
      <c r="A43" s="244">
        <v>39</v>
      </c>
      <c r="B43" s="244">
        <f t="shared" si="4"/>
        <v>1988</v>
      </c>
      <c r="C43" s="252">
        <f t="shared" si="5"/>
        <v>70988.398562977018</v>
      </c>
      <c r="D43" s="233"/>
      <c r="E43" s="253">
        <f t="shared" si="0"/>
        <v>72652.899038282412</v>
      </c>
      <c r="F43" s="228">
        <f t="shared" si="1"/>
        <v>36326.449519141206</v>
      </c>
      <c r="G43" s="228">
        <f t="shared" si="2"/>
        <v>8336.9201646429065</v>
      </c>
      <c r="H43" s="233">
        <f t="shared" si="3"/>
        <v>117316.26872206654</v>
      </c>
      <c r="J43" s="1">
        <v>39</v>
      </c>
      <c r="K43" s="7">
        <f t="shared" si="6"/>
        <v>2.3447499999999934E-2</v>
      </c>
      <c r="M43" s="1">
        <v>39</v>
      </c>
      <c r="N43" s="7">
        <f t="shared" si="7"/>
        <v>3.7499999999999864E-3</v>
      </c>
    </row>
    <row r="44" spans="1:14" s="235" customFormat="1" x14ac:dyDescent="0.3">
      <c r="A44" s="254">
        <v>40</v>
      </c>
      <c r="B44" s="254">
        <f t="shared" si="4"/>
        <v>1987</v>
      </c>
      <c r="C44" s="255">
        <f t="shared" si="5"/>
        <v>71227.984408127071</v>
      </c>
      <c r="D44" s="239"/>
      <c r="E44" s="258">
        <f t="shared" si="0"/>
        <v>72866.228049513986</v>
      </c>
      <c r="F44" s="236">
        <f t="shared" si="1"/>
        <v>36433.114024756993</v>
      </c>
      <c r="G44" s="236">
        <f t="shared" si="2"/>
        <v>8361.39966868173</v>
      </c>
      <c r="H44" s="239">
        <f t="shared" si="3"/>
        <v>117660.7417429527</v>
      </c>
      <c r="J44" s="235">
        <v>40</v>
      </c>
      <c r="K44" s="242">
        <f t="shared" si="6"/>
        <v>2.2999999999999934E-2</v>
      </c>
      <c r="M44" s="235">
        <v>40</v>
      </c>
      <c r="N44" s="242">
        <f t="shared" si="7"/>
        <v>3.3749999999999865E-3</v>
      </c>
    </row>
    <row r="45" spans="1:14" x14ac:dyDescent="0.3">
      <c r="N45" s="7"/>
    </row>
  </sheetData>
  <mergeCells count="2">
    <mergeCell ref="B2:C2"/>
    <mergeCell ref="K2:P2"/>
  </mergeCells>
  <pageMargins left="0.7" right="0.7" top="0.75" bottom="0.75" header="0.3" footer="0.3"/>
  <pageSetup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B333-2ADF-4784-9108-0F6C2423BC33}">
  <dimension ref="A2:R45"/>
  <sheetViews>
    <sheetView zoomScaleNormal="100" workbookViewId="0">
      <selection activeCell="C4" sqref="C4"/>
    </sheetView>
  </sheetViews>
  <sheetFormatPr defaultColWidth="12.1796875" defaultRowHeight="13" x14ac:dyDescent="0.3"/>
  <cols>
    <col min="1" max="1" width="8.81640625" style="244" customWidth="1"/>
    <col min="2" max="2" width="9.1796875" style="244" customWidth="1"/>
    <col min="3" max="3" width="8.54296875" style="259" customWidth="1"/>
    <col min="4" max="4" width="2.90625" style="1" hidden="1" customWidth="1"/>
    <col min="5" max="5" width="11.26953125" style="260" customWidth="1"/>
    <col min="6" max="6" width="9.7265625" style="1" hidden="1" customWidth="1"/>
    <col min="7" max="7" width="10.1796875" style="1" hidden="1" customWidth="1"/>
    <col min="8" max="8" width="13" style="1" hidden="1" customWidth="1"/>
    <col min="9" max="9" width="12.1796875" style="1"/>
    <col min="10" max="10" width="5.54296875" style="1" customWidth="1"/>
    <col min="11" max="11" width="8.7265625" style="1" customWidth="1"/>
    <col min="12" max="12" width="12.453125" style="1" customWidth="1"/>
    <col min="13" max="13" width="5.453125" style="1" customWidth="1"/>
    <col min="14" max="14" width="8.81640625" style="1" customWidth="1"/>
    <col min="15" max="15" width="12.453125" style="1" customWidth="1"/>
    <col min="16" max="16384" width="12.1796875" style="1"/>
  </cols>
  <sheetData>
    <row r="2" spans="1:18" ht="38.5" customHeight="1" x14ac:dyDescent="0.3">
      <c r="B2" s="420" t="s">
        <v>62</v>
      </c>
      <c r="C2" s="420"/>
      <c r="E2" s="245" t="s">
        <v>99</v>
      </c>
      <c r="J2" s="223"/>
      <c r="K2" s="421" t="s">
        <v>100</v>
      </c>
      <c r="L2" s="421"/>
      <c r="M2" s="421"/>
      <c r="N2" s="421"/>
      <c r="O2" s="421"/>
      <c r="P2" s="421"/>
      <c r="Q2" s="223"/>
      <c r="R2" s="223"/>
    </row>
    <row r="3" spans="1:18" s="225" customFormat="1" ht="39" x14ac:dyDescent="0.3">
      <c r="A3" s="225" t="s">
        <v>64</v>
      </c>
      <c r="B3" s="225" t="s">
        <v>10</v>
      </c>
      <c r="C3" s="246" t="s">
        <v>65</v>
      </c>
      <c r="E3" s="247" t="s">
        <v>67</v>
      </c>
      <c r="F3" s="225" t="s">
        <v>72</v>
      </c>
      <c r="G3" s="225" t="s">
        <v>73</v>
      </c>
      <c r="H3" s="225" t="s">
        <v>74</v>
      </c>
      <c r="J3" s="1" t="s">
        <v>75</v>
      </c>
      <c r="K3" s="226" t="s">
        <v>76</v>
      </c>
      <c r="L3" s="1" t="s">
        <v>77</v>
      </c>
      <c r="M3" s="225" t="s">
        <v>75</v>
      </c>
      <c r="N3" s="225" t="s">
        <v>78</v>
      </c>
      <c r="O3" s="225" t="s">
        <v>79</v>
      </c>
    </row>
    <row r="4" spans="1:18" ht="14" x14ac:dyDescent="0.3">
      <c r="A4" s="244" t="s">
        <v>80</v>
      </c>
      <c r="B4" s="248">
        <v>2026</v>
      </c>
      <c r="C4" s="249">
        <v>45437</v>
      </c>
      <c r="D4" s="233"/>
      <c r="E4" s="250">
        <f t="shared" ref="E4:E44" si="0">SUM(C4*K4)+C4</f>
        <v>47295.373299999999</v>
      </c>
      <c r="F4" s="228">
        <f t="shared" ref="F4:F44" si="1">SUM(E4*0.5)</f>
        <v>23647.68665</v>
      </c>
      <c r="G4" s="228">
        <f t="shared" ref="G4:G44" si="2">SUM(E4+F4)*0.0765</f>
        <v>5427.1440861749998</v>
      </c>
      <c r="H4" s="251">
        <f t="shared" ref="H4:H44" si="3">SUM(E4+F4+G4)</f>
        <v>76370.204036174997</v>
      </c>
      <c r="J4" s="1">
        <v>0</v>
      </c>
      <c r="K4" s="7">
        <v>4.0899999999999999E-2</v>
      </c>
      <c r="L4" s="9">
        <f>((0.0409-0.023)/40)</f>
        <v>4.4749999999999998E-4</v>
      </c>
      <c r="M4" s="1">
        <v>0</v>
      </c>
      <c r="N4" s="7"/>
      <c r="O4" s="9"/>
    </row>
    <row r="5" spans="1:18" x14ac:dyDescent="0.3">
      <c r="A5" s="244">
        <v>1</v>
      </c>
      <c r="B5" s="244">
        <f t="shared" ref="B5:B44" si="4">B4-1</f>
        <v>2025</v>
      </c>
      <c r="C5" s="252">
        <f t="shared" ref="C5:C44" si="5">SUM(C4*N5)+C4</f>
        <v>46254.866000000002</v>
      </c>
      <c r="D5" s="233"/>
      <c r="E5" s="253">
        <f t="shared" si="0"/>
        <v>48125.990966865</v>
      </c>
      <c r="F5" s="228">
        <f t="shared" si="1"/>
        <v>24062.9954834325</v>
      </c>
      <c r="G5" s="228">
        <f t="shared" si="2"/>
        <v>5522.4574634477585</v>
      </c>
      <c r="H5" s="233">
        <f t="shared" si="3"/>
        <v>77711.443913745257</v>
      </c>
      <c r="J5" s="1">
        <v>1</v>
      </c>
      <c r="K5" s="7">
        <f t="shared" ref="K5:K44" si="6">K4-$L$4</f>
        <v>4.0452500000000002E-2</v>
      </c>
      <c r="L5" s="234"/>
      <c r="M5" s="1">
        <v>1</v>
      </c>
      <c r="N5" s="7">
        <v>1.7999999999999999E-2</v>
      </c>
      <c r="O5" s="9">
        <f>((0.02-0.005)/40)</f>
        <v>3.7500000000000001E-4</v>
      </c>
    </row>
    <row r="6" spans="1:18" x14ac:dyDescent="0.3">
      <c r="A6" s="244">
        <v>2</v>
      </c>
      <c r="B6" s="244">
        <f t="shared" si="4"/>
        <v>2024</v>
      </c>
      <c r="C6" s="252">
        <f t="shared" si="5"/>
        <v>47070.108013249999</v>
      </c>
      <c r="D6" s="233"/>
      <c r="E6" s="253">
        <f t="shared" si="0"/>
        <v>48953.147684320065</v>
      </c>
      <c r="F6" s="228">
        <f t="shared" si="1"/>
        <v>24476.573842160033</v>
      </c>
      <c r="G6" s="228">
        <f t="shared" si="2"/>
        <v>5617.3736967757277</v>
      </c>
      <c r="H6" s="233">
        <f t="shared" si="3"/>
        <v>79047.095223255834</v>
      </c>
      <c r="J6" s="1">
        <v>2</v>
      </c>
      <c r="K6" s="7">
        <f t="shared" si="6"/>
        <v>4.0004999999999999E-2</v>
      </c>
      <c r="M6" s="1">
        <v>2</v>
      </c>
      <c r="N6" s="7">
        <f t="shared" ref="N6:N44" si="7">N5-$O$5</f>
        <v>1.7624999999999998E-2</v>
      </c>
    </row>
    <row r="7" spans="1:18" x14ac:dyDescent="0.3">
      <c r="A7" s="244">
        <v>3</v>
      </c>
      <c r="B7" s="244">
        <f t="shared" si="4"/>
        <v>2023</v>
      </c>
      <c r="C7" s="252">
        <f t="shared" si="5"/>
        <v>47882.067376478561</v>
      </c>
      <c r="D7" s="233"/>
      <c r="E7" s="253">
        <f t="shared" si="0"/>
        <v>49776.162256723612</v>
      </c>
      <c r="F7" s="228">
        <f t="shared" si="1"/>
        <v>24888.081128361806</v>
      </c>
      <c r="G7" s="228">
        <f t="shared" si="2"/>
        <v>5711.8146189590343</v>
      </c>
      <c r="H7" s="233">
        <f t="shared" si="3"/>
        <v>80376.058004044447</v>
      </c>
      <c r="J7" s="1">
        <v>3</v>
      </c>
      <c r="K7" s="7">
        <f t="shared" si="6"/>
        <v>3.9557499999999995E-2</v>
      </c>
      <c r="M7" s="1">
        <v>3</v>
      </c>
      <c r="N7" s="7">
        <f t="shared" si="7"/>
        <v>1.7249999999999998E-2</v>
      </c>
    </row>
    <row r="8" spans="1:18" x14ac:dyDescent="0.3">
      <c r="A8" s="244">
        <v>4</v>
      </c>
      <c r="B8" s="244">
        <f t="shared" si="4"/>
        <v>2022</v>
      </c>
      <c r="C8" s="252">
        <f t="shared" si="5"/>
        <v>48690.077263456638</v>
      </c>
      <c r="D8" s="233"/>
      <c r="E8" s="253">
        <f t="shared" si="0"/>
        <v>50594.346185230424</v>
      </c>
      <c r="F8" s="228">
        <f t="shared" si="1"/>
        <v>25297.173092615212</v>
      </c>
      <c r="G8" s="228">
        <f t="shared" si="2"/>
        <v>5805.7012247551911</v>
      </c>
      <c r="H8" s="233">
        <f t="shared" si="3"/>
        <v>81697.220502600831</v>
      </c>
      <c r="J8" s="1">
        <v>4</v>
      </c>
      <c r="K8" s="7">
        <f t="shared" si="6"/>
        <v>3.9109999999999992E-2</v>
      </c>
      <c r="M8" s="1">
        <v>4</v>
      </c>
      <c r="N8" s="7">
        <f t="shared" si="7"/>
        <v>1.6874999999999998E-2</v>
      </c>
    </row>
    <row r="9" spans="1:18" s="240" customFormat="1" x14ac:dyDescent="0.3">
      <c r="A9" s="254">
        <v>5</v>
      </c>
      <c r="B9" s="254">
        <f t="shared" si="4"/>
        <v>2021</v>
      </c>
      <c r="C9" s="255">
        <f t="shared" si="5"/>
        <v>49493.463538303673</v>
      </c>
      <c r="D9" s="239"/>
      <c r="E9" s="256">
        <f t="shared" si="0"/>
        <v>51407.00457235334</v>
      </c>
      <c r="F9" s="236">
        <f t="shared" si="1"/>
        <v>25703.50228617667</v>
      </c>
      <c r="G9" s="238">
        <f t="shared" si="2"/>
        <v>5898.9537746775459</v>
      </c>
      <c r="H9" s="239">
        <f t="shared" si="3"/>
        <v>83009.460633207564</v>
      </c>
      <c r="J9" s="240">
        <v>5</v>
      </c>
      <c r="K9" s="241">
        <f t="shared" si="6"/>
        <v>3.8662499999999989E-2</v>
      </c>
      <c r="M9" s="240">
        <v>5</v>
      </c>
      <c r="N9" s="241">
        <f t="shared" si="7"/>
        <v>1.6499999999999997E-2</v>
      </c>
      <c r="P9" s="240">
        <f>C9/C4</f>
        <v>1.089276658632913</v>
      </c>
    </row>
    <row r="10" spans="1:18" x14ac:dyDescent="0.3">
      <c r="A10" s="244">
        <v>6</v>
      </c>
      <c r="B10" s="257">
        <f t="shared" si="4"/>
        <v>2020</v>
      </c>
      <c r="C10" s="252">
        <f t="shared" si="5"/>
        <v>50291.545637858821</v>
      </c>
      <c r="D10" s="233"/>
      <c r="E10" s="253">
        <f t="shared" si="0"/>
        <v>52213.437054409595</v>
      </c>
      <c r="F10" s="228">
        <f t="shared" si="1"/>
        <v>26106.718527204797</v>
      </c>
      <c r="G10" s="228">
        <f t="shared" si="2"/>
        <v>5991.4919019935014</v>
      </c>
      <c r="H10" s="233">
        <f t="shared" si="3"/>
        <v>84311.6474836079</v>
      </c>
      <c r="J10" s="1">
        <v>6</v>
      </c>
      <c r="K10" s="7">
        <f t="shared" si="6"/>
        <v>3.8214999999999985E-2</v>
      </c>
      <c r="M10" s="1">
        <v>6</v>
      </c>
      <c r="N10" s="7">
        <f t="shared" si="7"/>
        <v>1.6124999999999997E-2</v>
      </c>
    </row>
    <row r="11" spans="1:18" x14ac:dyDescent="0.3">
      <c r="A11" s="244">
        <v>7</v>
      </c>
      <c r="B11" s="244">
        <f t="shared" si="4"/>
        <v>2019</v>
      </c>
      <c r="C11" s="252">
        <f t="shared" si="5"/>
        <v>51083.637481655096</v>
      </c>
      <c r="D11" s="233"/>
      <c r="E11" s="253">
        <f t="shared" si="0"/>
        <v>53012.938760243502</v>
      </c>
      <c r="F11" s="228">
        <f t="shared" si="1"/>
        <v>26506.469380121751</v>
      </c>
      <c r="G11" s="228">
        <f t="shared" si="2"/>
        <v>6083.2347227379414</v>
      </c>
      <c r="H11" s="233">
        <f t="shared" si="3"/>
        <v>85602.642863103189</v>
      </c>
      <c r="J11" s="1">
        <v>7</v>
      </c>
      <c r="K11" s="7">
        <f t="shared" si="6"/>
        <v>3.7767499999999982E-2</v>
      </c>
      <c r="M11" s="1">
        <v>7</v>
      </c>
      <c r="N11" s="7">
        <f t="shared" si="7"/>
        <v>1.5749999999999997E-2</v>
      </c>
    </row>
    <row r="12" spans="1:18" x14ac:dyDescent="0.3">
      <c r="A12" s="244">
        <v>8</v>
      </c>
      <c r="B12" s="244">
        <f t="shared" si="4"/>
        <v>2018</v>
      </c>
      <c r="C12" s="252">
        <f t="shared" si="5"/>
        <v>51869.048407935545</v>
      </c>
      <c r="D12" s="233"/>
      <c r="E12" s="253">
        <f t="shared" si="0"/>
        <v>53804.801294519697</v>
      </c>
      <c r="F12" s="228">
        <f t="shared" si="1"/>
        <v>26902.400647259848</v>
      </c>
      <c r="G12" s="228">
        <f t="shared" si="2"/>
        <v>6174.1009485461354</v>
      </c>
      <c r="H12" s="233">
        <f t="shared" si="3"/>
        <v>86881.302890325693</v>
      </c>
      <c r="J12" s="1">
        <v>8</v>
      </c>
      <c r="K12" s="7">
        <f t="shared" si="6"/>
        <v>3.7319999999999978E-2</v>
      </c>
      <c r="M12" s="1">
        <v>8</v>
      </c>
      <c r="N12" s="7">
        <f t="shared" si="7"/>
        <v>1.5374999999999996E-2</v>
      </c>
    </row>
    <row r="13" spans="1:18" x14ac:dyDescent="0.3">
      <c r="A13" s="244">
        <v>9</v>
      </c>
      <c r="B13" s="244">
        <f t="shared" si="4"/>
        <v>2017</v>
      </c>
      <c r="C13" s="252">
        <f t="shared" si="5"/>
        <v>52647.084134054574</v>
      </c>
      <c r="D13" s="233"/>
      <c r="E13" s="253">
        <f t="shared" si="0"/>
        <v>54588.313743787498</v>
      </c>
      <c r="F13" s="228">
        <f t="shared" si="1"/>
        <v>27294.156871893749</v>
      </c>
      <c r="G13" s="228">
        <f t="shared" si="2"/>
        <v>6264.0090020996149</v>
      </c>
      <c r="H13" s="233">
        <f t="shared" si="3"/>
        <v>88146.47961778086</v>
      </c>
      <c r="J13" s="1">
        <v>9</v>
      </c>
      <c r="K13" s="7">
        <f t="shared" si="6"/>
        <v>3.6872499999999975E-2</v>
      </c>
      <c r="M13" s="1">
        <v>9</v>
      </c>
      <c r="N13" s="7">
        <f t="shared" si="7"/>
        <v>1.4999999999999996E-2</v>
      </c>
    </row>
    <row r="14" spans="1:18" s="235" customFormat="1" x14ac:dyDescent="0.3">
      <c r="A14" s="254">
        <v>10</v>
      </c>
      <c r="B14" s="254">
        <f t="shared" si="4"/>
        <v>2016</v>
      </c>
      <c r="C14" s="255">
        <f t="shared" si="5"/>
        <v>53417.047739515125</v>
      </c>
      <c r="D14" s="239"/>
      <c r="E14" s="258">
        <f t="shared" si="0"/>
        <v>55362.763703426965</v>
      </c>
      <c r="F14" s="236">
        <f t="shared" si="1"/>
        <v>27681.381851713482</v>
      </c>
      <c r="G14" s="236">
        <f t="shared" si="2"/>
        <v>6352.8771349682447</v>
      </c>
      <c r="H14" s="239">
        <f t="shared" si="3"/>
        <v>89397.022690108701</v>
      </c>
      <c r="J14" s="235">
        <v>10</v>
      </c>
      <c r="K14" s="242">
        <f t="shared" si="6"/>
        <v>3.6424999999999971E-2</v>
      </c>
      <c r="M14" s="235">
        <v>10</v>
      </c>
      <c r="N14" s="242">
        <f t="shared" si="7"/>
        <v>1.4624999999999996E-2</v>
      </c>
    </row>
    <row r="15" spans="1:18" x14ac:dyDescent="0.3">
      <c r="A15" s="244">
        <v>11</v>
      </c>
      <c r="B15" s="257">
        <f t="shared" si="4"/>
        <v>2015</v>
      </c>
      <c r="C15" s="252">
        <f t="shared" si="5"/>
        <v>54178.240669803214</v>
      </c>
      <c r="D15" s="233"/>
      <c r="E15" s="253">
        <f t="shared" si="0"/>
        <v>56127.438323501054</v>
      </c>
      <c r="F15" s="228">
        <f t="shared" si="1"/>
        <v>28063.719161750527</v>
      </c>
      <c r="G15" s="228">
        <f t="shared" si="2"/>
        <v>6440.6235476217453</v>
      </c>
      <c r="H15" s="233">
        <f t="shared" si="3"/>
        <v>90631.781032873318</v>
      </c>
      <c r="J15" s="1">
        <v>11</v>
      </c>
      <c r="K15" s="7">
        <f t="shared" si="6"/>
        <v>3.5977499999999968E-2</v>
      </c>
      <c r="M15" s="1">
        <v>11</v>
      </c>
      <c r="N15" s="7">
        <f t="shared" si="7"/>
        <v>1.4249999999999995E-2</v>
      </c>
    </row>
    <row r="16" spans="1:18" x14ac:dyDescent="0.3">
      <c r="A16" s="244">
        <v>12</v>
      </c>
      <c r="B16" s="244">
        <f t="shared" si="4"/>
        <v>2014</v>
      </c>
      <c r="C16" s="252">
        <f t="shared" si="5"/>
        <v>54929.963759096732</v>
      </c>
      <c r="D16" s="233"/>
      <c r="E16" s="253">
        <f t="shared" si="0"/>
        <v>56881.625371457434</v>
      </c>
      <c r="F16" s="228">
        <f t="shared" si="1"/>
        <v>28440.812685728717</v>
      </c>
      <c r="G16" s="228">
        <f t="shared" si="2"/>
        <v>6527.1665113747404</v>
      </c>
      <c r="H16" s="233">
        <f t="shared" si="3"/>
        <v>91849.604568560899</v>
      </c>
      <c r="J16" s="1">
        <v>12</v>
      </c>
      <c r="K16" s="7">
        <f t="shared" si="6"/>
        <v>3.5529999999999964E-2</v>
      </c>
      <c r="M16" s="1">
        <v>12</v>
      </c>
      <c r="N16" s="7">
        <f t="shared" si="7"/>
        <v>1.3874999999999995E-2</v>
      </c>
    </row>
    <row r="17" spans="1:14" x14ac:dyDescent="0.3">
      <c r="A17" s="244">
        <v>13</v>
      </c>
      <c r="B17" s="244">
        <f t="shared" si="4"/>
        <v>2013</v>
      </c>
      <c r="C17" s="252">
        <f t="shared" si="5"/>
        <v>55671.518269844535</v>
      </c>
      <c r="D17" s="233"/>
      <c r="E17" s="253">
        <f t="shared" si="0"/>
        <v>57624.614309546356</v>
      </c>
      <c r="F17" s="228">
        <f t="shared" si="1"/>
        <v>28812.307154773178</v>
      </c>
      <c r="G17" s="228">
        <f t="shared" si="2"/>
        <v>6612.4244920204437</v>
      </c>
      <c r="H17" s="233">
        <f t="shared" si="3"/>
        <v>93049.345956339967</v>
      </c>
      <c r="J17" s="1">
        <v>13</v>
      </c>
      <c r="K17" s="7">
        <f t="shared" si="6"/>
        <v>3.5082499999999961E-2</v>
      </c>
      <c r="M17" s="1">
        <v>13</v>
      </c>
      <c r="N17" s="7">
        <f t="shared" si="7"/>
        <v>1.3499999999999995E-2</v>
      </c>
    </row>
    <row r="18" spans="1:14" x14ac:dyDescent="0.3">
      <c r="A18" s="244">
        <v>14</v>
      </c>
      <c r="B18" s="244">
        <f t="shared" si="4"/>
        <v>2012</v>
      </c>
      <c r="C18" s="252">
        <f t="shared" si="5"/>
        <v>56402.206947136241</v>
      </c>
      <c r="D18" s="233"/>
      <c r="E18" s="253">
        <f t="shared" si="0"/>
        <v>58355.697384750303</v>
      </c>
      <c r="F18" s="228">
        <f t="shared" si="1"/>
        <v>29177.848692375152</v>
      </c>
      <c r="G18" s="228">
        <f t="shared" si="2"/>
        <v>6696.3162749000976</v>
      </c>
      <c r="H18" s="233">
        <f t="shared" si="3"/>
        <v>94229.86235202555</v>
      </c>
      <c r="J18" s="1">
        <v>14</v>
      </c>
      <c r="K18" s="7">
        <f t="shared" si="6"/>
        <v>3.4634999999999957E-2</v>
      </c>
      <c r="M18" s="1">
        <v>14</v>
      </c>
      <c r="N18" s="7">
        <f t="shared" si="7"/>
        <v>1.3124999999999994E-2</v>
      </c>
    </row>
    <row r="19" spans="1:14" s="235" customFormat="1" x14ac:dyDescent="0.3">
      <c r="A19" s="254">
        <v>15</v>
      </c>
      <c r="B19" s="254">
        <f t="shared" si="4"/>
        <v>2011</v>
      </c>
      <c r="C19" s="255">
        <f t="shared" si="5"/>
        <v>57121.335085712228</v>
      </c>
      <c r="D19" s="239"/>
      <c r="E19" s="258">
        <f t="shared" si="0"/>
        <v>59074.17072895501</v>
      </c>
      <c r="F19" s="236">
        <f t="shared" si="1"/>
        <v>29537.085364477505</v>
      </c>
      <c r="G19" s="236">
        <f t="shared" si="2"/>
        <v>6778.7610911475876</v>
      </c>
      <c r="H19" s="239">
        <f t="shared" si="3"/>
        <v>95390.017184580109</v>
      </c>
      <c r="J19" s="235">
        <v>15</v>
      </c>
      <c r="K19" s="242">
        <f t="shared" si="6"/>
        <v>3.4187499999999954E-2</v>
      </c>
      <c r="M19" s="235">
        <v>15</v>
      </c>
      <c r="N19" s="242">
        <f t="shared" si="7"/>
        <v>1.2749999999999994E-2</v>
      </c>
    </row>
    <row r="20" spans="1:14" x14ac:dyDescent="0.3">
      <c r="A20" s="244">
        <v>16</v>
      </c>
      <c r="B20" s="257">
        <f t="shared" si="4"/>
        <v>2010</v>
      </c>
      <c r="C20" s="252">
        <f t="shared" si="5"/>
        <v>57828.21160739792</v>
      </c>
      <c r="D20" s="233"/>
      <c r="E20" s="253">
        <f t="shared" si="0"/>
        <v>59779.335467031524</v>
      </c>
      <c r="F20" s="228">
        <f t="shared" si="1"/>
        <v>29889.667733515762</v>
      </c>
      <c r="G20" s="228">
        <f t="shared" si="2"/>
        <v>6859.6787448418672</v>
      </c>
      <c r="H20" s="233">
        <f t="shared" si="3"/>
        <v>96528.681945389151</v>
      </c>
      <c r="J20" s="1">
        <v>16</v>
      </c>
      <c r="K20" s="7">
        <f t="shared" si="6"/>
        <v>3.3739999999999951E-2</v>
      </c>
      <c r="M20" s="1">
        <v>16</v>
      </c>
      <c r="N20" s="7">
        <f t="shared" si="7"/>
        <v>1.2374999999999994E-2</v>
      </c>
    </row>
    <row r="21" spans="1:14" x14ac:dyDescent="0.3">
      <c r="A21" s="244">
        <v>17</v>
      </c>
      <c r="B21" s="244">
        <f t="shared" si="4"/>
        <v>2009</v>
      </c>
      <c r="C21" s="252">
        <f t="shared" si="5"/>
        <v>58522.150146686698</v>
      </c>
      <c r="D21" s="233"/>
      <c r="E21" s="253">
        <f t="shared" si="0"/>
        <v>60470.498830445264</v>
      </c>
      <c r="F21" s="228">
        <f t="shared" si="1"/>
        <v>30235.249415222632</v>
      </c>
      <c r="G21" s="228">
        <f t="shared" si="2"/>
        <v>6938.9897407935941</v>
      </c>
      <c r="H21" s="233">
        <f t="shared" si="3"/>
        <v>97644.737986461492</v>
      </c>
      <c r="J21" s="1">
        <v>17</v>
      </c>
      <c r="K21" s="7">
        <f t="shared" si="6"/>
        <v>3.3292499999999947E-2</v>
      </c>
      <c r="M21" s="1">
        <v>17</v>
      </c>
      <c r="N21" s="7">
        <f t="shared" si="7"/>
        <v>1.1999999999999993E-2</v>
      </c>
    </row>
    <row r="22" spans="1:14" x14ac:dyDescent="0.3">
      <c r="A22" s="244">
        <v>18</v>
      </c>
      <c r="B22" s="244">
        <f t="shared" si="4"/>
        <v>2008</v>
      </c>
      <c r="C22" s="252">
        <f t="shared" si="5"/>
        <v>59202.47014214193</v>
      </c>
      <c r="D22" s="233"/>
      <c r="E22" s="253">
        <f t="shared" si="0"/>
        <v>61146.975273960576</v>
      </c>
      <c r="F22" s="228">
        <f t="shared" si="1"/>
        <v>30573.487636980288</v>
      </c>
      <c r="G22" s="228">
        <f t="shared" si="2"/>
        <v>7016.6154126869769</v>
      </c>
      <c r="H22" s="233">
        <f t="shared" si="3"/>
        <v>98737.078323627851</v>
      </c>
      <c r="J22" s="1">
        <v>18</v>
      </c>
      <c r="K22" s="7">
        <f t="shared" si="6"/>
        <v>3.2844999999999944E-2</v>
      </c>
      <c r="M22" s="1">
        <v>18</v>
      </c>
      <c r="N22" s="7">
        <f t="shared" si="7"/>
        <v>1.1624999999999993E-2</v>
      </c>
    </row>
    <row r="23" spans="1:14" x14ac:dyDescent="0.3">
      <c r="A23" s="244">
        <v>19</v>
      </c>
      <c r="B23" s="244">
        <f t="shared" si="4"/>
        <v>2007</v>
      </c>
      <c r="C23" s="252">
        <f t="shared" si="5"/>
        <v>59868.497931241029</v>
      </c>
      <c r="D23" s="233"/>
      <c r="E23" s="253">
        <f t="shared" si="0"/>
        <v>61808.087592968404</v>
      </c>
      <c r="F23" s="228">
        <f t="shared" si="1"/>
        <v>30904.043796484202</v>
      </c>
      <c r="G23" s="228">
        <f t="shared" si="2"/>
        <v>7092.4780512931247</v>
      </c>
      <c r="H23" s="233">
        <f t="shared" si="3"/>
        <v>99804.609440745728</v>
      </c>
      <c r="J23" s="1">
        <v>19</v>
      </c>
      <c r="K23" s="7">
        <f t="shared" si="6"/>
        <v>3.239749999999994E-2</v>
      </c>
      <c r="M23" s="1">
        <v>19</v>
      </c>
      <c r="N23" s="7">
        <f t="shared" si="7"/>
        <v>1.1249999999999993E-2</v>
      </c>
    </row>
    <row r="24" spans="1:14" s="235" customFormat="1" x14ac:dyDescent="0.3">
      <c r="A24" s="254">
        <v>20</v>
      </c>
      <c r="B24" s="254">
        <f t="shared" si="4"/>
        <v>2006</v>
      </c>
      <c r="C24" s="255">
        <f t="shared" si="5"/>
        <v>60519.567846243277</v>
      </c>
      <c r="D24" s="239"/>
      <c r="E24" s="258">
        <f t="shared" si="0"/>
        <v>62453.168038930744</v>
      </c>
      <c r="F24" s="236">
        <f t="shared" si="1"/>
        <v>31226.584019465372</v>
      </c>
      <c r="G24" s="236">
        <f t="shared" si="2"/>
        <v>7166.501032467303</v>
      </c>
      <c r="H24" s="239">
        <f t="shared" si="3"/>
        <v>100846.25309086342</v>
      </c>
      <c r="J24" s="235">
        <v>20</v>
      </c>
      <c r="K24" s="242">
        <f t="shared" si="6"/>
        <v>3.1949999999999937E-2</v>
      </c>
      <c r="M24" s="235">
        <v>20</v>
      </c>
      <c r="N24" s="242">
        <f t="shared" si="7"/>
        <v>1.0874999999999992E-2</v>
      </c>
    </row>
    <row r="25" spans="1:14" x14ac:dyDescent="0.3">
      <c r="A25" s="244">
        <v>21</v>
      </c>
      <c r="B25" s="257">
        <f t="shared" si="4"/>
        <v>2005</v>
      </c>
      <c r="C25" s="252">
        <f t="shared" si="5"/>
        <v>61155.023308628828</v>
      </c>
      <c r="D25" s="233"/>
      <c r="E25" s="253">
        <f t="shared" si="0"/>
        <v>63081.559430408903</v>
      </c>
      <c r="F25" s="228">
        <f t="shared" si="1"/>
        <v>31540.779715204451</v>
      </c>
      <c r="G25" s="228">
        <f t="shared" si="2"/>
        <v>7238.6089446394217</v>
      </c>
      <c r="H25" s="233">
        <f t="shared" si="3"/>
        <v>101860.94809025277</v>
      </c>
      <c r="J25" s="1">
        <v>21</v>
      </c>
      <c r="K25" s="7">
        <f t="shared" si="6"/>
        <v>3.1502499999999933E-2</v>
      </c>
      <c r="M25" s="1">
        <v>21</v>
      </c>
      <c r="N25" s="7">
        <f t="shared" si="7"/>
        <v>1.0499999999999992E-2</v>
      </c>
    </row>
    <row r="26" spans="1:14" x14ac:dyDescent="0.3">
      <c r="A26" s="244">
        <v>22</v>
      </c>
      <c r="B26" s="244">
        <f t="shared" si="4"/>
        <v>2004</v>
      </c>
      <c r="C26" s="252">
        <f t="shared" si="5"/>
        <v>61774.217919628696</v>
      </c>
      <c r="D26" s="233"/>
      <c r="E26" s="253">
        <f t="shared" si="0"/>
        <v>63692.616257122761</v>
      </c>
      <c r="F26" s="228">
        <f t="shared" si="1"/>
        <v>31846.308128561381</v>
      </c>
      <c r="G26" s="228">
        <f t="shared" si="2"/>
        <v>7308.7277155048359</v>
      </c>
      <c r="H26" s="233">
        <f t="shared" si="3"/>
        <v>102847.65210118897</v>
      </c>
      <c r="J26" s="1">
        <v>22</v>
      </c>
      <c r="K26" s="7">
        <f t="shared" si="6"/>
        <v>3.1054999999999933E-2</v>
      </c>
      <c r="M26" s="1">
        <v>22</v>
      </c>
      <c r="N26" s="7">
        <f t="shared" si="7"/>
        <v>1.0124999999999992E-2</v>
      </c>
    </row>
    <row r="27" spans="1:14" x14ac:dyDescent="0.3">
      <c r="A27" s="244">
        <v>23</v>
      </c>
      <c r="B27" s="244">
        <f t="shared" si="4"/>
        <v>2003</v>
      </c>
      <c r="C27" s="252">
        <f t="shared" si="5"/>
        <v>62376.516544345075</v>
      </c>
      <c r="D27" s="233"/>
      <c r="E27" s="253">
        <f t="shared" si="0"/>
        <v>64285.705774476111</v>
      </c>
      <c r="F27" s="228">
        <f t="shared" si="1"/>
        <v>32142.852887238056</v>
      </c>
      <c r="G27" s="228">
        <f t="shared" si="2"/>
        <v>7376.7847376211339</v>
      </c>
      <c r="H27" s="233">
        <f t="shared" si="3"/>
        <v>103805.3433993353</v>
      </c>
      <c r="J27" s="1">
        <v>23</v>
      </c>
      <c r="K27" s="7">
        <f t="shared" si="6"/>
        <v>3.0607499999999933E-2</v>
      </c>
      <c r="M27" s="1">
        <v>23</v>
      </c>
      <c r="N27" s="7">
        <f t="shared" si="7"/>
        <v>9.7499999999999913E-3</v>
      </c>
    </row>
    <row r="28" spans="1:14" x14ac:dyDescent="0.3">
      <c r="A28" s="244">
        <v>24</v>
      </c>
      <c r="B28" s="244">
        <f t="shared" si="4"/>
        <v>2002</v>
      </c>
      <c r="C28" s="252">
        <f t="shared" si="5"/>
        <v>62961.296386948306</v>
      </c>
      <c r="D28" s="233"/>
      <c r="E28" s="253">
        <f t="shared" si="0"/>
        <v>64860.209085978662</v>
      </c>
      <c r="F28" s="228">
        <f t="shared" si="1"/>
        <v>32430.104542989331</v>
      </c>
      <c r="G28" s="228">
        <f t="shared" si="2"/>
        <v>7442.7089926160515</v>
      </c>
      <c r="H28" s="233">
        <f t="shared" si="3"/>
        <v>104733.02262158405</v>
      </c>
      <c r="J28" s="1">
        <v>24</v>
      </c>
      <c r="K28" s="7">
        <f t="shared" si="6"/>
        <v>3.0159999999999933E-2</v>
      </c>
      <c r="M28" s="1">
        <v>24</v>
      </c>
      <c r="N28" s="7">
        <f t="shared" si="7"/>
        <v>9.374999999999991E-3</v>
      </c>
    </row>
    <row r="29" spans="1:14" s="235" customFormat="1" x14ac:dyDescent="0.3">
      <c r="A29" s="254">
        <v>25</v>
      </c>
      <c r="B29" s="254">
        <f t="shared" si="4"/>
        <v>2001</v>
      </c>
      <c r="C29" s="255">
        <f t="shared" si="5"/>
        <v>63527.948054430839</v>
      </c>
      <c r="D29" s="239"/>
      <c r="E29" s="258">
        <f t="shared" si="0"/>
        <v>65415.522210998111</v>
      </c>
      <c r="F29" s="236">
        <f t="shared" si="1"/>
        <v>32707.761105499056</v>
      </c>
      <c r="G29" s="236">
        <f t="shared" si="2"/>
        <v>7506.4311737120333</v>
      </c>
      <c r="H29" s="239">
        <f t="shared" si="3"/>
        <v>105629.7144902092</v>
      </c>
      <c r="J29" s="235">
        <v>25</v>
      </c>
      <c r="K29" s="242">
        <f t="shared" si="6"/>
        <v>2.9712499999999933E-2</v>
      </c>
      <c r="M29" s="235">
        <v>25</v>
      </c>
      <c r="N29" s="242">
        <f t="shared" si="7"/>
        <v>8.9999999999999906E-3</v>
      </c>
    </row>
    <row r="30" spans="1:14" x14ac:dyDescent="0.3">
      <c r="A30" s="244">
        <v>26</v>
      </c>
      <c r="B30" s="257">
        <f t="shared" si="4"/>
        <v>2000</v>
      </c>
      <c r="C30" s="252">
        <f t="shared" si="5"/>
        <v>64075.876606400307</v>
      </c>
      <c r="D30" s="233"/>
      <c r="E30" s="253">
        <f t="shared" si="0"/>
        <v>65951.05713528661</v>
      </c>
      <c r="F30" s="228">
        <f t="shared" si="1"/>
        <v>32975.528567643305</v>
      </c>
      <c r="G30" s="228">
        <f t="shared" si="2"/>
        <v>7567.8838062741379</v>
      </c>
      <c r="H30" s="233">
        <f t="shared" si="3"/>
        <v>106494.46950920405</v>
      </c>
      <c r="J30" s="1">
        <v>26</v>
      </c>
      <c r="K30" s="7">
        <f t="shared" si="6"/>
        <v>2.9264999999999933E-2</v>
      </c>
      <c r="M30" s="1">
        <v>26</v>
      </c>
      <c r="N30" s="7">
        <f t="shared" si="7"/>
        <v>8.6249999999999903E-3</v>
      </c>
    </row>
    <row r="31" spans="1:14" x14ac:dyDescent="0.3">
      <c r="A31" s="244">
        <v>27</v>
      </c>
      <c r="B31" s="244">
        <f t="shared" si="4"/>
        <v>1999</v>
      </c>
      <c r="C31" s="252">
        <f t="shared" si="5"/>
        <v>64604.502588403106</v>
      </c>
      <c r="D31" s="233"/>
      <c r="E31" s="253">
        <f t="shared" si="0"/>
        <v>66466.242841744403</v>
      </c>
      <c r="F31" s="228">
        <f t="shared" si="1"/>
        <v>33233.121420872201</v>
      </c>
      <c r="G31" s="228">
        <f t="shared" si="2"/>
        <v>7627.0013660901704</v>
      </c>
      <c r="H31" s="233">
        <f t="shared" si="3"/>
        <v>107326.36562870679</v>
      </c>
      <c r="J31" s="1">
        <v>27</v>
      </c>
      <c r="K31" s="7">
        <f t="shared" si="6"/>
        <v>2.8817499999999933E-2</v>
      </c>
      <c r="M31" s="1">
        <v>27</v>
      </c>
      <c r="N31" s="7">
        <f t="shared" si="7"/>
        <v>8.24999999999999E-3</v>
      </c>
    </row>
    <row r="32" spans="1:14" x14ac:dyDescent="0.3">
      <c r="A32" s="244">
        <v>28</v>
      </c>
      <c r="B32" s="244">
        <f t="shared" si="4"/>
        <v>1998</v>
      </c>
      <c r="C32" s="252">
        <f t="shared" si="5"/>
        <v>65113.263046286782</v>
      </c>
      <c r="D32" s="233"/>
      <c r="E32" s="253">
        <f t="shared" si="0"/>
        <v>66960.526318909935</v>
      </c>
      <c r="F32" s="228">
        <f t="shared" si="1"/>
        <v>33480.263159454968</v>
      </c>
      <c r="G32" s="228">
        <f t="shared" si="2"/>
        <v>7683.7203950949142</v>
      </c>
      <c r="H32" s="233">
        <f t="shared" si="3"/>
        <v>108124.50987345981</v>
      </c>
      <c r="J32" s="1">
        <v>28</v>
      </c>
      <c r="K32" s="7">
        <f t="shared" si="6"/>
        <v>2.8369999999999933E-2</v>
      </c>
      <c r="M32" s="1">
        <v>28</v>
      </c>
      <c r="N32" s="7">
        <f t="shared" si="7"/>
        <v>7.8749999999999896E-3</v>
      </c>
    </row>
    <row r="33" spans="1:14" x14ac:dyDescent="0.3">
      <c r="A33" s="244">
        <v>29</v>
      </c>
      <c r="B33" s="244">
        <f t="shared" si="4"/>
        <v>1997</v>
      </c>
      <c r="C33" s="252">
        <f t="shared" si="5"/>
        <v>65601.612519133938</v>
      </c>
      <c r="D33" s="233"/>
      <c r="E33" s="253">
        <f t="shared" si="0"/>
        <v>67433.373544699454</v>
      </c>
      <c r="F33" s="228">
        <f t="shared" si="1"/>
        <v>33716.686772349727</v>
      </c>
      <c r="G33" s="228">
        <f t="shared" si="2"/>
        <v>7737.9796142542618</v>
      </c>
      <c r="H33" s="233">
        <f t="shared" si="3"/>
        <v>108888.03993130344</v>
      </c>
      <c r="J33" s="1">
        <v>29</v>
      </c>
      <c r="K33" s="7">
        <f t="shared" si="6"/>
        <v>2.7922499999999933E-2</v>
      </c>
      <c r="M33" s="1">
        <v>29</v>
      </c>
      <c r="N33" s="7">
        <f t="shared" si="7"/>
        <v>7.4999999999999893E-3</v>
      </c>
    </row>
    <row r="34" spans="1:14" s="235" customFormat="1" x14ac:dyDescent="0.3">
      <c r="A34" s="254">
        <v>30</v>
      </c>
      <c r="B34" s="254">
        <f t="shared" si="4"/>
        <v>1996</v>
      </c>
      <c r="C34" s="255">
        <f t="shared" si="5"/>
        <v>66069.024008332766</v>
      </c>
      <c r="D34" s="239"/>
      <c r="E34" s="258">
        <f t="shared" si="0"/>
        <v>67884.270442961701</v>
      </c>
      <c r="F34" s="236">
        <f t="shared" si="1"/>
        <v>33942.13522148085</v>
      </c>
      <c r="G34" s="236">
        <f t="shared" si="2"/>
        <v>7789.7200333298542</v>
      </c>
      <c r="H34" s="239">
        <f t="shared" si="3"/>
        <v>109616.1256977724</v>
      </c>
      <c r="J34" s="235">
        <v>30</v>
      </c>
      <c r="K34" s="242">
        <f t="shared" si="6"/>
        <v>2.7474999999999934E-2</v>
      </c>
      <c r="M34" s="235">
        <v>30</v>
      </c>
      <c r="N34" s="242">
        <f t="shared" si="7"/>
        <v>7.124999999999989E-3</v>
      </c>
    </row>
    <row r="35" spans="1:14" x14ac:dyDescent="0.3">
      <c r="A35" s="244">
        <v>31</v>
      </c>
      <c r="B35" s="257">
        <f t="shared" si="4"/>
        <v>1995</v>
      </c>
      <c r="C35" s="252">
        <f t="shared" si="5"/>
        <v>66514.989920389009</v>
      </c>
      <c r="D35" s="233"/>
      <c r="E35" s="253">
        <f t="shared" si="0"/>
        <v>68312.723810462325</v>
      </c>
      <c r="F35" s="228">
        <f t="shared" si="1"/>
        <v>34156.361905231162</v>
      </c>
      <c r="G35" s="228">
        <f t="shared" si="2"/>
        <v>7838.8850572505507</v>
      </c>
      <c r="H35" s="233">
        <f t="shared" si="3"/>
        <v>110307.97077294403</v>
      </c>
      <c r="J35" s="1">
        <v>31</v>
      </c>
      <c r="K35" s="7">
        <f t="shared" si="6"/>
        <v>2.7027499999999934E-2</v>
      </c>
      <c r="M35" s="1">
        <v>31</v>
      </c>
      <c r="N35" s="7">
        <f t="shared" si="7"/>
        <v>6.7499999999999886E-3</v>
      </c>
    </row>
    <row r="36" spans="1:14" x14ac:dyDescent="0.3">
      <c r="A36" s="244">
        <v>32</v>
      </c>
      <c r="B36" s="244">
        <f t="shared" si="4"/>
        <v>1994</v>
      </c>
      <c r="C36" s="252">
        <f t="shared" si="5"/>
        <v>66939.022981131493</v>
      </c>
      <c r="D36" s="233"/>
      <c r="E36" s="253">
        <f t="shared" si="0"/>
        <v>68718.262211969966</v>
      </c>
      <c r="F36" s="228">
        <f t="shared" si="1"/>
        <v>34359.131105984983</v>
      </c>
      <c r="G36" s="228">
        <f t="shared" si="2"/>
        <v>7885.4205888235538</v>
      </c>
      <c r="H36" s="233">
        <f t="shared" si="3"/>
        <v>110962.81390677851</v>
      </c>
      <c r="J36" s="1">
        <v>32</v>
      </c>
      <c r="K36" s="7">
        <f t="shared" si="6"/>
        <v>2.6579999999999934E-2</v>
      </c>
      <c r="M36" s="1">
        <v>32</v>
      </c>
      <c r="N36" s="7">
        <f t="shared" si="7"/>
        <v>6.3749999999999883E-3</v>
      </c>
    </row>
    <row r="37" spans="1:14" x14ac:dyDescent="0.3">
      <c r="A37" s="244">
        <v>33</v>
      </c>
      <c r="B37" s="244">
        <f t="shared" si="4"/>
        <v>1993</v>
      </c>
      <c r="C37" s="252">
        <f t="shared" si="5"/>
        <v>67340.657119018288</v>
      </c>
      <c r="D37" s="233"/>
      <c r="E37" s="253">
        <f t="shared" si="0"/>
        <v>69100.436841181028</v>
      </c>
      <c r="F37" s="228">
        <f t="shared" si="1"/>
        <v>34550.218420590514</v>
      </c>
      <c r="G37" s="228">
        <f t="shared" si="2"/>
        <v>7929.2751275255232</v>
      </c>
      <c r="H37" s="233">
        <f t="shared" si="3"/>
        <v>111579.93038929708</v>
      </c>
      <c r="J37" s="1">
        <v>33</v>
      </c>
      <c r="K37" s="7">
        <f t="shared" si="6"/>
        <v>2.6132499999999934E-2</v>
      </c>
      <c r="M37" s="1">
        <v>33</v>
      </c>
      <c r="N37" s="7">
        <f t="shared" si="7"/>
        <v>5.999999999999988E-3</v>
      </c>
    </row>
    <row r="38" spans="1:14" x14ac:dyDescent="0.3">
      <c r="A38" s="244">
        <v>34</v>
      </c>
      <c r="B38" s="244">
        <f t="shared" si="4"/>
        <v>1992</v>
      </c>
      <c r="C38" s="252">
        <f t="shared" si="5"/>
        <v>67719.448315312766</v>
      </c>
      <c r="D38" s="233"/>
      <c r="E38" s="253">
        <f t="shared" si="0"/>
        <v>69458.82234529157</v>
      </c>
      <c r="F38" s="228">
        <f t="shared" si="1"/>
        <v>34729.411172645785</v>
      </c>
      <c r="G38" s="228">
        <f t="shared" si="2"/>
        <v>7970.3998641222079</v>
      </c>
      <c r="H38" s="233">
        <f t="shared" si="3"/>
        <v>112158.63338205958</v>
      </c>
      <c r="J38" s="1">
        <v>34</v>
      </c>
      <c r="K38" s="7">
        <f t="shared" si="6"/>
        <v>2.5684999999999934E-2</v>
      </c>
      <c r="M38" s="1">
        <v>34</v>
      </c>
      <c r="N38" s="7">
        <f t="shared" si="7"/>
        <v>5.6249999999999876E-3</v>
      </c>
    </row>
    <row r="39" spans="1:14" s="235" customFormat="1" x14ac:dyDescent="0.3">
      <c r="A39" s="254">
        <v>35</v>
      </c>
      <c r="B39" s="254">
        <f t="shared" si="4"/>
        <v>1991</v>
      </c>
      <c r="C39" s="255">
        <f t="shared" si="5"/>
        <v>68074.975418968155</v>
      </c>
      <c r="D39" s="239"/>
      <c r="E39" s="258">
        <f t="shared" si="0"/>
        <v>69793.017611104355</v>
      </c>
      <c r="F39" s="236">
        <f t="shared" si="1"/>
        <v>34896.508805552177</v>
      </c>
      <c r="G39" s="236">
        <f t="shared" si="2"/>
        <v>8008.7487708742246</v>
      </c>
      <c r="H39" s="239">
        <f t="shared" si="3"/>
        <v>112698.27518753076</v>
      </c>
      <c r="J39" s="235">
        <v>35</v>
      </c>
      <c r="K39" s="242">
        <f t="shared" si="6"/>
        <v>2.5237499999999934E-2</v>
      </c>
      <c r="M39" s="235">
        <v>35</v>
      </c>
      <c r="N39" s="242">
        <f t="shared" si="7"/>
        <v>5.2499999999999873E-3</v>
      </c>
    </row>
    <row r="40" spans="1:14" x14ac:dyDescent="0.3">
      <c r="A40" s="244">
        <v>36</v>
      </c>
      <c r="B40" s="257">
        <f t="shared" si="4"/>
        <v>1990</v>
      </c>
      <c r="C40" s="252">
        <f t="shared" si="5"/>
        <v>68406.840924135628</v>
      </c>
      <c r="D40" s="233"/>
      <c r="E40" s="253">
        <f t="shared" si="0"/>
        <v>70102.646510644947</v>
      </c>
      <c r="F40" s="228">
        <f t="shared" si="1"/>
        <v>35051.323255322473</v>
      </c>
      <c r="G40" s="228">
        <f t="shared" si="2"/>
        <v>8044.2786870965083</v>
      </c>
      <c r="H40" s="233">
        <f t="shared" si="3"/>
        <v>113198.24845306393</v>
      </c>
      <c r="J40" s="1">
        <v>36</v>
      </c>
      <c r="K40" s="7">
        <f t="shared" si="6"/>
        <v>2.4789999999999934E-2</v>
      </c>
      <c r="M40" s="1">
        <v>36</v>
      </c>
      <c r="N40" s="7">
        <f t="shared" si="7"/>
        <v>4.874999999999987E-3</v>
      </c>
    </row>
    <row r="41" spans="1:14" x14ac:dyDescent="0.3">
      <c r="A41" s="244">
        <v>37</v>
      </c>
      <c r="B41" s="244">
        <f t="shared" si="4"/>
        <v>1989</v>
      </c>
      <c r="C41" s="252">
        <f t="shared" si="5"/>
        <v>68714.671708294234</v>
      </c>
      <c r="D41" s="233"/>
      <c r="E41" s="253">
        <f t="shared" si="0"/>
        <v>70387.358604353387</v>
      </c>
      <c r="F41" s="228">
        <f t="shared" si="1"/>
        <v>35193.679302176693</v>
      </c>
      <c r="G41" s="228">
        <f t="shared" si="2"/>
        <v>8076.9493998495509</v>
      </c>
      <c r="H41" s="233">
        <f t="shared" si="3"/>
        <v>113657.98730637963</v>
      </c>
      <c r="J41" s="1">
        <v>37</v>
      </c>
      <c r="K41" s="7">
        <f t="shared" si="6"/>
        <v>2.4342499999999934E-2</v>
      </c>
      <c r="M41" s="1">
        <v>37</v>
      </c>
      <c r="N41" s="7">
        <f t="shared" si="7"/>
        <v>4.4999999999999866E-3</v>
      </c>
    </row>
    <row r="42" spans="1:14" x14ac:dyDescent="0.3">
      <c r="A42" s="244">
        <v>38</v>
      </c>
      <c r="B42" s="244">
        <f t="shared" si="4"/>
        <v>1988</v>
      </c>
      <c r="C42" s="252">
        <f t="shared" si="5"/>
        <v>68998.119729090948</v>
      </c>
      <c r="D42" s="233"/>
      <c r="E42" s="253">
        <f t="shared" si="0"/>
        <v>70646.829800017571</v>
      </c>
      <c r="F42" s="228">
        <f t="shared" si="1"/>
        <v>35323.414900008785</v>
      </c>
      <c r="G42" s="228">
        <f t="shared" si="2"/>
        <v>8106.7237195520156</v>
      </c>
      <c r="H42" s="233">
        <f t="shared" si="3"/>
        <v>114076.96841957836</v>
      </c>
      <c r="J42" s="1">
        <v>38</v>
      </c>
      <c r="K42" s="7">
        <f t="shared" si="6"/>
        <v>2.3894999999999934E-2</v>
      </c>
      <c r="M42" s="1">
        <v>38</v>
      </c>
      <c r="N42" s="7">
        <f t="shared" si="7"/>
        <v>4.1249999999999863E-3</v>
      </c>
    </row>
    <row r="43" spans="1:14" x14ac:dyDescent="0.3">
      <c r="A43" s="244">
        <v>39</v>
      </c>
      <c r="B43" s="244">
        <f t="shared" si="4"/>
        <v>1987</v>
      </c>
      <c r="C43" s="252">
        <f t="shared" si="5"/>
        <v>69256.862678075035</v>
      </c>
      <c r="D43" s="233"/>
      <c r="E43" s="253">
        <f t="shared" si="0"/>
        <v>70880.762965719201</v>
      </c>
      <c r="F43" s="228">
        <f t="shared" si="1"/>
        <v>35440.381482859601</v>
      </c>
      <c r="G43" s="228">
        <f t="shared" si="2"/>
        <v>8133.5675503162774</v>
      </c>
      <c r="H43" s="233">
        <f t="shared" si="3"/>
        <v>114454.71199889507</v>
      </c>
      <c r="J43" s="1">
        <v>39</v>
      </c>
      <c r="K43" s="7">
        <f t="shared" si="6"/>
        <v>2.3447499999999934E-2</v>
      </c>
      <c r="M43" s="1">
        <v>39</v>
      </c>
      <c r="N43" s="7">
        <f t="shared" si="7"/>
        <v>3.7499999999999864E-3</v>
      </c>
    </row>
    <row r="44" spans="1:14" s="235" customFormat="1" x14ac:dyDescent="0.3">
      <c r="A44" s="254">
        <v>40</v>
      </c>
      <c r="B44" s="254">
        <f t="shared" si="4"/>
        <v>1986</v>
      </c>
      <c r="C44" s="255">
        <f t="shared" si="5"/>
        <v>69490.604589613533</v>
      </c>
      <c r="D44" s="239"/>
      <c r="E44" s="258">
        <f t="shared" si="0"/>
        <v>71088.888495174644</v>
      </c>
      <c r="F44" s="236">
        <f t="shared" si="1"/>
        <v>35544.444247587322</v>
      </c>
      <c r="G44" s="236">
        <f t="shared" si="2"/>
        <v>8157.4499548212907</v>
      </c>
      <c r="H44" s="239">
        <f t="shared" si="3"/>
        <v>114790.78269758326</v>
      </c>
      <c r="J44" s="235">
        <v>40</v>
      </c>
      <c r="K44" s="242">
        <f t="shared" si="6"/>
        <v>2.2999999999999934E-2</v>
      </c>
      <c r="M44" s="235">
        <v>40</v>
      </c>
      <c r="N44" s="242">
        <f t="shared" si="7"/>
        <v>3.3749999999999865E-3</v>
      </c>
    </row>
    <row r="45" spans="1:14" x14ac:dyDescent="0.3">
      <c r="N45" s="7"/>
    </row>
  </sheetData>
  <mergeCells count="2">
    <mergeCell ref="B2:C2"/>
    <mergeCell ref="K2:P2"/>
  </mergeCells>
  <pageMargins left="0.7" right="0.7" top="0.75" bottom="0.75" header="0.3" footer="0.3"/>
  <pageSetup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AE0B-F9A9-4AC4-B045-1DEC3B4AAECB}">
  <dimension ref="A2:R45"/>
  <sheetViews>
    <sheetView zoomScaleNormal="100" workbookViewId="0">
      <selection activeCell="I43" sqref="I43"/>
    </sheetView>
  </sheetViews>
  <sheetFormatPr defaultColWidth="12.1796875" defaultRowHeight="13" x14ac:dyDescent="0.3"/>
  <cols>
    <col min="1" max="1" width="8.81640625" style="244" customWidth="1"/>
    <col min="2" max="2" width="9.1796875" style="244" customWidth="1"/>
    <col min="3" max="3" width="8.54296875" style="259" customWidth="1"/>
    <col min="4" max="4" width="2.90625" style="1" hidden="1" customWidth="1"/>
    <col min="5" max="5" width="11.26953125" style="260" customWidth="1"/>
    <col min="6" max="6" width="9.7265625" style="1" hidden="1" customWidth="1"/>
    <col min="7" max="7" width="10.1796875" style="1" hidden="1" customWidth="1"/>
    <col min="8" max="8" width="13" style="1" hidden="1" customWidth="1"/>
    <col min="9" max="9" width="12.1796875" style="1"/>
    <col min="10" max="10" width="5.54296875" style="1" customWidth="1"/>
    <col min="11" max="11" width="8.7265625" style="1" customWidth="1"/>
    <col min="12" max="12" width="12.453125" style="1" customWidth="1"/>
    <col min="13" max="13" width="5.453125" style="1" customWidth="1"/>
    <col min="14" max="14" width="8.81640625" style="1" customWidth="1"/>
    <col min="15" max="15" width="12.453125" style="1" customWidth="1"/>
    <col min="16" max="16384" width="12.1796875" style="1"/>
  </cols>
  <sheetData>
    <row r="2" spans="1:18" ht="38.5" customHeight="1" x14ac:dyDescent="0.3">
      <c r="B2" s="420" t="s">
        <v>62</v>
      </c>
      <c r="C2" s="420"/>
      <c r="E2" s="245" t="s">
        <v>99</v>
      </c>
      <c r="J2" s="223"/>
      <c r="K2" s="421" t="s">
        <v>100</v>
      </c>
      <c r="L2" s="421"/>
      <c r="M2" s="421"/>
      <c r="N2" s="421"/>
      <c r="O2" s="421"/>
      <c r="P2" s="421"/>
      <c r="Q2" s="223"/>
      <c r="R2" s="223"/>
    </row>
    <row r="3" spans="1:18" s="225" customFormat="1" ht="39" x14ac:dyDescent="0.3">
      <c r="A3" s="225" t="s">
        <v>64</v>
      </c>
      <c r="B3" s="225" t="s">
        <v>10</v>
      </c>
      <c r="C3" s="246" t="s">
        <v>65</v>
      </c>
      <c r="E3" s="247" t="s">
        <v>67</v>
      </c>
      <c r="F3" s="225" t="s">
        <v>72</v>
      </c>
      <c r="G3" s="225" t="s">
        <v>73</v>
      </c>
      <c r="H3" s="225" t="s">
        <v>74</v>
      </c>
      <c r="J3" s="1" t="s">
        <v>75</v>
      </c>
      <c r="K3" s="226" t="s">
        <v>76</v>
      </c>
      <c r="L3" s="1" t="s">
        <v>77</v>
      </c>
      <c r="M3" s="225" t="s">
        <v>75</v>
      </c>
      <c r="N3" s="225" t="s">
        <v>78</v>
      </c>
      <c r="O3" s="225" t="s">
        <v>79</v>
      </c>
    </row>
    <row r="4" spans="1:18" ht="14" x14ac:dyDescent="0.3">
      <c r="A4" s="244" t="s">
        <v>80</v>
      </c>
      <c r="B4" s="248">
        <v>2025</v>
      </c>
      <c r="C4" s="249">
        <v>43273</v>
      </c>
      <c r="D4" s="233"/>
      <c r="E4" s="250">
        <f t="shared" ref="E4:E44" si="0">SUM(C4*K4)+C4</f>
        <v>45042.865700000002</v>
      </c>
      <c r="F4" s="228">
        <f t="shared" ref="F4:F44" si="1">SUM(E4*0.5)</f>
        <v>22521.432850000001</v>
      </c>
      <c r="G4" s="228">
        <f t="shared" ref="G4:G44" si="2">SUM(E4+F4)*0.0765</f>
        <v>5168.6688390750005</v>
      </c>
      <c r="H4" s="251">
        <f t="shared" ref="H4:H44" si="3">SUM(E4+F4+G4)</f>
        <v>72732.967389075013</v>
      </c>
      <c r="J4" s="1">
        <v>0</v>
      </c>
      <c r="K4" s="7">
        <v>4.0899999999999999E-2</v>
      </c>
      <c r="L4" s="9">
        <f>((0.0409-0.023)/40)</f>
        <v>4.4749999999999998E-4</v>
      </c>
      <c r="M4" s="1">
        <v>0</v>
      </c>
      <c r="N4" s="7"/>
      <c r="O4" s="9"/>
    </row>
    <row r="5" spans="1:18" x14ac:dyDescent="0.3">
      <c r="A5" s="244">
        <v>1</v>
      </c>
      <c r="B5" s="244">
        <f t="shared" ref="B5:B44" si="4">B4-1</f>
        <v>2024</v>
      </c>
      <c r="C5" s="252">
        <f t="shared" ref="C5:C44" si="5">SUM(C4*N5)+C4</f>
        <v>44051.913999999997</v>
      </c>
      <c r="D5" s="233"/>
      <c r="E5" s="253">
        <f t="shared" si="0"/>
        <v>45833.924051085</v>
      </c>
      <c r="F5" s="228">
        <f t="shared" si="1"/>
        <v>22916.9620255425</v>
      </c>
      <c r="G5" s="228">
        <f t="shared" si="2"/>
        <v>5259.4427848620035</v>
      </c>
      <c r="H5" s="233">
        <f t="shared" si="3"/>
        <v>74010.328861489514</v>
      </c>
      <c r="J5" s="1">
        <v>1</v>
      </c>
      <c r="K5" s="7">
        <f t="shared" ref="K5:K44" si="6">K4-$L$4</f>
        <v>4.0452500000000002E-2</v>
      </c>
      <c r="L5" s="234"/>
      <c r="M5" s="1">
        <v>1</v>
      </c>
      <c r="N5" s="7">
        <v>1.7999999999999999E-2</v>
      </c>
      <c r="O5" s="9">
        <f>((0.02-0.005)/40)</f>
        <v>3.7500000000000001E-4</v>
      </c>
    </row>
    <row r="6" spans="1:18" x14ac:dyDescent="0.3">
      <c r="A6" s="244">
        <v>2</v>
      </c>
      <c r="B6" s="244">
        <f t="shared" si="4"/>
        <v>2023</v>
      </c>
      <c r="C6" s="252">
        <f t="shared" si="5"/>
        <v>44828.328984249994</v>
      </c>
      <c r="D6" s="233"/>
      <c r="E6" s="253">
        <f t="shared" si="0"/>
        <v>46621.686285264914</v>
      </c>
      <c r="F6" s="228">
        <f t="shared" si="1"/>
        <v>23310.843142632457</v>
      </c>
      <c r="G6" s="228">
        <f t="shared" si="2"/>
        <v>5349.8385012341487</v>
      </c>
      <c r="H6" s="233">
        <f t="shared" si="3"/>
        <v>75282.36792913152</v>
      </c>
      <c r="J6" s="1">
        <v>2</v>
      </c>
      <c r="K6" s="7">
        <f t="shared" si="6"/>
        <v>4.0004999999999999E-2</v>
      </c>
      <c r="M6" s="1">
        <v>2</v>
      </c>
      <c r="N6" s="7">
        <f t="shared" ref="N6:N44" si="7">N5-$O$5</f>
        <v>1.7624999999999998E-2</v>
      </c>
    </row>
    <row r="7" spans="1:18" x14ac:dyDescent="0.3">
      <c r="A7" s="244">
        <v>3</v>
      </c>
      <c r="B7" s="244">
        <f t="shared" si="4"/>
        <v>2022</v>
      </c>
      <c r="C7" s="252">
        <f t="shared" si="5"/>
        <v>45601.617659228308</v>
      </c>
      <c r="D7" s="233"/>
      <c r="E7" s="253">
        <f t="shared" si="0"/>
        <v>47405.503649783233</v>
      </c>
      <c r="F7" s="228">
        <f t="shared" si="1"/>
        <v>23702.751824891617</v>
      </c>
      <c r="G7" s="228">
        <f t="shared" si="2"/>
        <v>5439.7815438126263</v>
      </c>
      <c r="H7" s="233">
        <f t="shared" si="3"/>
        <v>76548.037018487477</v>
      </c>
      <c r="J7" s="1">
        <v>3</v>
      </c>
      <c r="K7" s="7">
        <f t="shared" si="6"/>
        <v>3.9557499999999995E-2</v>
      </c>
      <c r="M7" s="1">
        <v>3</v>
      </c>
      <c r="N7" s="7">
        <f t="shared" si="7"/>
        <v>1.7249999999999998E-2</v>
      </c>
    </row>
    <row r="8" spans="1:18" x14ac:dyDescent="0.3">
      <c r="A8" s="244">
        <v>4</v>
      </c>
      <c r="B8" s="244">
        <f t="shared" si="4"/>
        <v>2021</v>
      </c>
      <c r="C8" s="252">
        <f t="shared" si="5"/>
        <v>46371.144957227785</v>
      </c>
      <c r="D8" s="233"/>
      <c r="E8" s="253">
        <f t="shared" si="0"/>
        <v>48184.720436504962</v>
      </c>
      <c r="F8" s="228">
        <f t="shared" si="1"/>
        <v>24092.360218252481</v>
      </c>
      <c r="G8" s="228">
        <f t="shared" si="2"/>
        <v>5529.1966700889443</v>
      </c>
      <c r="H8" s="233">
        <f t="shared" si="3"/>
        <v>77806.277324846393</v>
      </c>
      <c r="J8" s="1">
        <v>4</v>
      </c>
      <c r="K8" s="7">
        <f t="shared" si="6"/>
        <v>3.9109999999999992E-2</v>
      </c>
      <c r="M8" s="1">
        <v>4</v>
      </c>
      <c r="N8" s="7">
        <f t="shared" si="7"/>
        <v>1.6874999999999998E-2</v>
      </c>
    </row>
    <row r="9" spans="1:18" s="240" customFormat="1" x14ac:dyDescent="0.3">
      <c r="A9" s="254">
        <v>5</v>
      </c>
      <c r="B9" s="254">
        <f t="shared" si="4"/>
        <v>2020</v>
      </c>
      <c r="C9" s="255">
        <f t="shared" si="5"/>
        <v>47136.268849022046</v>
      </c>
      <c r="D9" s="239"/>
      <c r="E9" s="256">
        <f t="shared" si="0"/>
        <v>48958.674843397363</v>
      </c>
      <c r="F9" s="236">
        <f t="shared" si="1"/>
        <v>24479.337421698681</v>
      </c>
      <c r="G9" s="238">
        <f t="shared" si="2"/>
        <v>5618.0079382798467</v>
      </c>
      <c r="H9" s="239">
        <f t="shared" si="3"/>
        <v>79056.020203375883</v>
      </c>
      <c r="J9" s="240">
        <v>5</v>
      </c>
      <c r="K9" s="241">
        <f t="shared" si="6"/>
        <v>3.8662499999999989E-2</v>
      </c>
      <c r="M9" s="240">
        <v>5</v>
      </c>
      <c r="N9" s="241">
        <f t="shared" si="7"/>
        <v>1.6499999999999997E-2</v>
      </c>
      <c r="P9" s="240">
        <f>C9/C4</f>
        <v>1.089276658632913</v>
      </c>
    </row>
    <row r="10" spans="1:18" x14ac:dyDescent="0.3">
      <c r="A10" s="244">
        <v>6</v>
      </c>
      <c r="B10" s="257">
        <f t="shared" si="4"/>
        <v>2019</v>
      </c>
      <c r="C10" s="252">
        <f t="shared" si="5"/>
        <v>47896.341184212528</v>
      </c>
      <c r="D10" s="233"/>
      <c r="E10" s="253">
        <f t="shared" si="0"/>
        <v>49726.699862567206</v>
      </c>
      <c r="F10" s="228">
        <f t="shared" si="1"/>
        <v>24863.349931283603</v>
      </c>
      <c r="G10" s="228">
        <f t="shared" si="2"/>
        <v>5706.1388092295865</v>
      </c>
      <c r="H10" s="233">
        <f t="shared" si="3"/>
        <v>80296.188603080387</v>
      </c>
      <c r="J10" s="1">
        <v>6</v>
      </c>
      <c r="K10" s="7">
        <f t="shared" si="6"/>
        <v>3.8214999999999985E-2</v>
      </c>
      <c r="M10" s="1">
        <v>6</v>
      </c>
      <c r="N10" s="7">
        <f t="shared" si="7"/>
        <v>1.6124999999999997E-2</v>
      </c>
    </row>
    <row r="11" spans="1:18" x14ac:dyDescent="0.3">
      <c r="A11" s="244">
        <v>7</v>
      </c>
      <c r="B11" s="244">
        <f t="shared" si="4"/>
        <v>2018</v>
      </c>
      <c r="C11" s="252">
        <f t="shared" si="5"/>
        <v>48650.708557863873</v>
      </c>
      <c r="D11" s="233"/>
      <c r="E11" s="253">
        <f t="shared" si="0"/>
        <v>50488.124193322998</v>
      </c>
      <c r="F11" s="228">
        <f t="shared" si="1"/>
        <v>25244.062096661499</v>
      </c>
      <c r="G11" s="228">
        <f t="shared" si="2"/>
        <v>5793.5122511838144</v>
      </c>
      <c r="H11" s="233">
        <f t="shared" si="3"/>
        <v>81525.698541168313</v>
      </c>
      <c r="J11" s="1">
        <v>7</v>
      </c>
      <c r="K11" s="7">
        <f t="shared" si="6"/>
        <v>3.7767499999999982E-2</v>
      </c>
      <c r="M11" s="1">
        <v>7</v>
      </c>
      <c r="N11" s="7">
        <f t="shared" si="7"/>
        <v>1.5749999999999997E-2</v>
      </c>
    </row>
    <row r="12" spans="1:18" x14ac:dyDescent="0.3">
      <c r="A12" s="244">
        <v>8</v>
      </c>
      <c r="B12" s="244">
        <f t="shared" si="4"/>
        <v>2017</v>
      </c>
      <c r="C12" s="252">
        <f t="shared" si="5"/>
        <v>49398.713201941027</v>
      </c>
      <c r="D12" s="233"/>
      <c r="E12" s="253">
        <f t="shared" si="0"/>
        <v>51242.273178637464</v>
      </c>
      <c r="F12" s="228">
        <f t="shared" si="1"/>
        <v>25621.136589318732</v>
      </c>
      <c r="G12" s="228">
        <f t="shared" si="2"/>
        <v>5880.050847248649</v>
      </c>
      <c r="H12" s="233">
        <f t="shared" si="3"/>
        <v>82743.460615204851</v>
      </c>
      <c r="J12" s="1">
        <v>8</v>
      </c>
      <c r="K12" s="7">
        <f t="shared" si="6"/>
        <v>3.7319999999999978E-2</v>
      </c>
      <c r="M12" s="1">
        <v>8</v>
      </c>
      <c r="N12" s="7">
        <f t="shared" si="7"/>
        <v>1.5374999999999996E-2</v>
      </c>
    </row>
    <row r="13" spans="1:18" x14ac:dyDescent="0.3">
      <c r="A13" s="244">
        <v>9</v>
      </c>
      <c r="B13" s="244">
        <f t="shared" si="4"/>
        <v>2016</v>
      </c>
      <c r="C13" s="252">
        <f t="shared" si="5"/>
        <v>50139.693899970145</v>
      </c>
      <c r="D13" s="233"/>
      <c r="E13" s="253">
        <f t="shared" si="0"/>
        <v>51988.469763296795</v>
      </c>
      <c r="F13" s="228">
        <f t="shared" si="1"/>
        <v>25994.234881648397</v>
      </c>
      <c r="G13" s="228">
        <f t="shared" si="2"/>
        <v>5965.6769053383068</v>
      </c>
      <c r="H13" s="233">
        <f t="shared" si="3"/>
        <v>83948.381550283491</v>
      </c>
      <c r="J13" s="1">
        <v>9</v>
      </c>
      <c r="K13" s="7">
        <f t="shared" si="6"/>
        <v>3.6872499999999975E-2</v>
      </c>
      <c r="M13" s="1">
        <v>9</v>
      </c>
      <c r="N13" s="7">
        <f t="shared" si="7"/>
        <v>1.4999999999999996E-2</v>
      </c>
    </row>
    <row r="14" spans="1:18" s="235" customFormat="1" x14ac:dyDescent="0.3">
      <c r="A14" s="254">
        <v>10</v>
      </c>
      <c r="B14" s="254">
        <f t="shared" si="4"/>
        <v>2015</v>
      </c>
      <c r="C14" s="255">
        <f t="shared" si="5"/>
        <v>50872.986923257209</v>
      </c>
      <c r="D14" s="239"/>
      <c r="E14" s="258">
        <f t="shared" si="0"/>
        <v>52726.035471936848</v>
      </c>
      <c r="F14" s="236">
        <f t="shared" si="1"/>
        <v>26363.017735968424</v>
      </c>
      <c r="G14" s="236">
        <f t="shared" si="2"/>
        <v>6050.3125704047525</v>
      </c>
      <c r="H14" s="239">
        <f t="shared" si="3"/>
        <v>85139.365778310021</v>
      </c>
      <c r="J14" s="235">
        <v>10</v>
      </c>
      <c r="K14" s="242">
        <f t="shared" si="6"/>
        <v>3.6424999999999971E-2</v>
      </c>
      <c r="M14" s="235">
        <v>10</v>
      </c>
      <c r="N14" s="242">
        <f t="shared" si="7"/>
        <v>1.4624999999999996E-2</v>
      </c>
    </row>
    <row r="15" spans="1:18" x14ac:dyDescent="0.3">
      <c r="A15" s="244">
        <v>11</v>
      </c>
      <c r="B15" s="257">
        <f t="shared" si="4"/>
        <v>2014</v>
      </c>
      <c r="C15" s="252">
        <f t="shared" si="5"/>
        <v>51597.926986913626</v>
      </c>
      <c r="D15" s="233"/>
      <c r="E15" s="253">
        <f t="shared" si="0"/>
        <v>53454.291405085307</v>
      </c>
      <c r="F15" s="228">
        <f t="shared" si="1"/>
        <v>26727.145702542653</v>
      </c>
      <c r="G15" s="228">
        <f t="shared" si="2"/>
        <v>6133.8799387335393</v>
      </c>
      <c r="H15" s="233">
        <f t="shared" si="3"/>
        <v>86315.31704636151</v>
      </c>
      <c r="J15" s="1">
        <v>11</v>
      </c>
      <c r="K15" s="7">
        <f t="shared" si="6"/>
        <v>3.5977499999999968E-2</v>
      </c>
      <c r="M15" s="1">
        <v>11</v>
      </c>
      <c r="N15" s="7">
        <f t="shared" si="7"/>
        <v>1.4249999999999995E-2</v>
      </c>
    </row>
    <row r="16" spans="1:18" x14ac:dyDescent="0.3">
      <c r="A16" s="244">
        <v>12</v>
      </c>
      <c r="B16" s="244">
        <f t="shared" si="4"/>
        <v>2013</v>
      </c>
      <c r="C16" s="252">
        <f t="shared" si="5"/>
        <v>52313.84822385705</v>
      </c>
      <c r="D16" s="233"/>
      <c r="E16" s="253">
        <f t="shared" si="0"/>
        <v>54172.559251250692</v>
      </c>
      <c r="F16" s="228">
        <f t="shared" si="1"/>
        <v>27086.279625625346</v>
      </c>
      <c r="G16" s="228">
        <f t="shared" si="2"/>
        <v>6216.3011740810161</v>
      </c>
      <c r="H16" s="233">
        <f t="shared" si="3"/>
        <v>87475.140050957052</v>
      </c>
      <c r="J16" s="1">
        <v>12</v>
      </c>
      <c r="K16" s="7">
        <f t="shared" si="6"/>
        <v>3.5529999999999964E-2</v>
      </c>
      <c r="M16" s="1">
        <v>12</v>
      </c>
      <c r="N16" s="7">
        <f t="shared" si="7"/>
        <v>1.3874999999999995E-2</v>
      </c>
    </row>
    <row r="17" spans="1:14" x14ac:dyDescent="0.3">
      <c r="A17" s="244">
        <v>13</v>
      </c>
      <c r="B17" s="244">
        <f t="shared" si="4"/>
        <v>2012</v>
      </c>
      <c r="C17" s="252">
        <f t="shared" si="5"/>
        <v>53020.085174879117</v>
      </c>
      <c r="D17" s="233"/>
      <c r="E17" s="253">
        <f t="shared" si="0"/>
        <v>54880.162313026813</v>
      </c>
      <c r="F17" s="228">
        <f t="shared" si="1"/>
        <v>27440.081156513406</v>
      </c>
      <c r="G17" s="228">
        <f t="shared" si="2"/>
        <v>6297.4986254198266</v>
      </c>
      <c r="H17" s="233">
        <f t="shared" si="3"/>
        <v>88617.742094960049</v>
      </c>
      <c r="J17" s="1">
        <v>13</v>
      </c>
      <c r="K17" s="7">
        <f t="shared" si="6"/>
        <v>3.5082499999999961E-2</v>
      </c>
      <c r="M17" s="1">
        <v>13</v>
      </c>
      <c r="N17" s="7">
        <f t="shared" si="7"/>
        <v>1.3499999999999995E-2</v>
      </c>
    </row>
    <row r="18" spans="1:14" x14ac:dyDescent="0.3">
      <c r="A18" s="244">
        <v>14</v>
      </c>
      <c r="B18" s="244">
        <f t="shared" si="4"/>
        <v>2011</v>
      </c>
      <c r="C18" s="252">
        <f t="shared" si="5"/>
        <v>53715.973792799407</v>
      </c>
      <c r="D18" s="233"/>
      <c r="E18" s="253">
        <f t="shared" si="0"/>
        <v>55576.426545113012</v>
      </c>
      <c r="F18" s="228">
        <f t="shared" si="1"/>
        <v>27788.213272556506</v>
      </c>
      <c r="G18" s="228">
        <f t="shared" si="2"/>
        <v>6377.3949460517188</v>
      </c>
      <c r="H18" s="233">
        <f t="shared" si="3"/>
        <v>89742.03476372124</v>
      </c>
      <c r="J18" s="1">
        <v>14</v>
      </c>
      <c r="K18" s="7">
        <f t="shared" si="6"/>
        <v>3.4634999999999957E-2</v>
      </c>
      <c r="M18" s="1">
        <v>14</v>
      </c>
      <c r="N18" s="7">
        <f t="shared" si="7"/>
        <v>1.3124999999999994E-2</v>
      </c>
    </row>
    <row r="19" spans="1:14" s="235" customFormat="1" x14ac:dyDescent="0.3">
      <c r="A19" s="254">
        <v>15</v>
      </c>
      <c r="B19" s="254">
        <f t="shared" si="4"/>
        <v>2010</v>
      </c>
      <c r="C19" s="255">
        <f t="shared" si="5"/>
        <v>54400.852458657595</v>
      </c>
      <c r="D19" s="239"/>
      <c r="E19" s="258">
        <f t="shared" si="0"/>
        <v>56260.681602087949</v>
      </c>
      <c r="F19" s="236">
        <f t="shared" si="1"/>
        <v>28130.340801043974</v>
      </c>
      <c r="G19" s="236">
        <f t="shared" si="2"/>
        <v>6455.9132138395917</v>
      </c>
      <c r="H19" s="239">
        <f t="shared" si="3"/>
        <v>90846.935616971517</v>
      </c>
      <c r="J19" s="235">
        <v>15</v>
      </c>
      <c r="K19" s="242">
        <f t="shared" si="6"/>
        <v>3.4187499999999954E-2</v>
      </c>
      <c r="M19" s="235">
        <v>15</v>
      </c>
      <c r="N19" s="242">
        <f t="shared" si="7"/>
        <v>1.2749999999999994E-2</v>
      </c>
    </row>
    <row r="20" spans="1:14" x14ac:dyDescent="0.3">
      <c r="A20" s="244">
        <v>16</v>
      </c>
      <c r="B20" s="257">
        <f t="shared" si="4"/>
        <v>2009</v>
      </c>
      <c r="C20" s="252">
        <f t="shared" si="5"/>
        <v>55074.06300783348</v>
      </c>
      <c r="D20" s="233"/>
      <c r="E20" s="253">
        <f t="shared" si="0"/>
        <v>56932.261893717776</v>
      </c>
      <c r="F20" s="228">
        <f t="shared" si="1"/>
        <v>28466.130946858888</v>
      </c>
      <c r="G20" s="228">
        <f t="shared" si="2"/>
        <v>6532.9770523041143</v>
      </c>
      <c r="H20" s="233">
        <f t="shared" si="3"/>
        <v>91931.369892880772</v>
      </c>
      <c r="J20" s="1">
        <v>16</v>
      </c>
      <c r="K20" s="7">
        <f t="shared" si="6"/>
        <v>3.3739999999999951E-2</v>
      </c>
      <c r="M20" s="1">
        <v>16</v>
      </c>
      <c r="N20" s="7">
        <f t="shared" si="7"/>
        <v>1.2374999999999994E-2</v>
      </c>
    </row>
    <row r="21" spans="1:14" x14ac:dyDescent="0.3">
      <c r="A21" s="244">
        <v>17</v>
      </c>
      <c r="B21" s="244">
        <f t="shared" si="4"/>
        <v>2008</v>
      </c>
      <c r="C21" s="252">
        <f t="shared" si="5"/>
        <v>55734.951763927478</v>
      </c>
      <c r="D21" s="233"/>
      <c r="E21" s="253">
        <f t="shared" si="0"/>
        <v>57590.507645528029</v>
      </c>
      <c r="F21" s="228">
        <f t="shared" si="1"/>
        <v>28795.253822764014</v>
      </c>
      <c r="G21" s="228">
        <f t="shared" si="2"/>
        <v>6608.5107523243405</v>
      </c>
      <c r="H21" s="233">
        <f t="shared" si="3"/>
        <v>92994.272220616374</v>
      </c>
      <c r="J21" s="1">
        <v>17</v>
      </c>
      <c r="K21" s="7">
        <f t="shared" si="6"/>
        <v>3.3292499999999947E-2</v>
      </c>
      <c r="M21" s="1">
        <v>17</v>
      </c>
      <c r="N21" s="7">
        <f t="shared" si="7"/>
        <v>1.1999999999999993E-2</v>
      </c>
    </row>
    <row r="22" spans="1:14" x14ac:dyDescent="0.3">
      <c r="A22" s="244">
        <v>18</v>
      </c>
      <c r="B22" s="244">
        <f t="shared" si="4"/>
        <v>2007</v>
      </c>
      <c r="C22" s="252">
        <f t="shared" si="5"/>
        <v>56382.870578183138</v>
      </c>
      <c r="D22" s="233"/>
      <c r="E22" s="253">
        <f t="shared" si="0"/>
        <v>58234.76596232356</v>
      </c>
      <c r="F22" s="228">
        <f t="shared" si="1"/>
        <v>29117.38298116178</v>
      </c>
      <c r="G22" s="228">
        <f t="shared" si="2"/>
        <v>6682.4393941766284</v>
      </c>
      <c r="H22" s="233">
        <f t="shared" si="3"/>
        <v>94034.588337661975</v>
      </c>
      <c r="J22" s="1">
        <v>18</v>
      </c>
      <c r="K22" s="7">
        <f t="shared" si="6"/>
        <v>3.2844999999999944E-2</v>
      </c>
      <c r="M22" s="1">
        <v>18</v>
      </c>
      <c r="N22" s="7">
        <f t="shared" si="7"/>
        <v>1.1624999999999993E-2</v>
      </c>
    </row>
    <row r="23" spans="1:14" x14ac:dyDescent="0.3">
      <c r="A23" s="244">
        <v>19</v>
      </c>
      <c r="B23" s="244">
        <f t="shared" si="4"/>
        <v>2006</v>
      </c>
      <c r="C23" s="252">
        <f t="shared" si="5"/>
        <v>57017.177872187698</v>
      </c>
      <c r="D23" s="233"/>
      <c r="E23" s="253">
        <f t="shared" si="0"/>
        <v>58864.391892301894</v>
      </c>
      <c r="F23" s="228">
        <f t="shared" si="1"/>
        <v>29432.195946150947</v>
      </c>
      <c r="G23" s="228">
        <f t="shared" si="2"/>
        <v>6754.688969641642</v>
      </c>
      <c r="H23" s="233">
        <f t="shared" si="3"/>
        <v>95051.276808094481</v>
      </c>
      <c r="J23" s="1">
        <v>19</v>
      </c>
      <c r="K23" s="7">
        <f t="shared" si="6"/>
        <v>3.239749999999994E-2</v>
      </c>
      <c r="M23" s="1">
        <v>19</v>
      </c>
      <c r="N23" s="7">
        <f t="shared" si="7"/>
        <v>1.1249999999999993E-2</v>
      </c>
    </row>
    <row r="24" spans="1:14" s="235" customFormat="1" x14ac:dyDescent="0.3">
      <c r="A24" s="254">
        <v>20</v>
      </c>
      <c r="B24" s="254">
        <f t="shared" si="4"/>
        <v>2005</v>
      </c>
      <c r="C24" s="255">
        <f t="shared" si="5"/>
        <v>57637.23968154774</v>
      </c>
      <c r="D24" s="239"/>
      <c r="E24" s="258">
        <f t="shared" si="0"/>
        <v>59478.749489373185</v>
      </c>
      <c r="F24" s="236">
        <f t="shared" si="1"/>
        <v>29739.374744686593</v>
      </c>
      <c r="G24" s="236">
        <f t="shared" si="2"/>
        <v>6825.1865039055729</v>
      </c>
      <c r="H24" s="239">
        <f t="shared" si="3"/>
        <v>96043.310737965352</v>
      </c>
      <c r="J24" s="235">
        <v>20</v>
      </c>
      <c r="K24" s="242">
        <f t="shared" si="6"/>
        <v>3.1949999999999937E-2</v>
      </c>
      <c r="M24" s="235">
        <v>20</v>
      </c>
      <c r="N24" s="242">
        <f t="shared" si="7"/>
        <v>1.0874999999999992E-2</v>
      </c>
    </row>
    <row r="25" spans="1:14" x14ac:dyDescent="0.3">
      <c r="A25" s="244">
        <v>21</v>
      </c>
      <c r="B25" s="257">
        <f t="shared" si="4"/>
        <v>2004</v>
      </c>
      <c r="C25" s="252">
        <f t="shared" si="5"/>
        <v>58242.430698203993</v>
      </c>
      <c r="D25" s="233"/>
      <c r="E25" s="253">
        <f t="shared" si="0"/>
        <v>60077.212871274161</v>
      </c>
      <c r="F25" s="228">
        <f t="shared" si="1"/>
        <v>30038.606435637081</v>
      </c>
      <c r="G25" s="228">
        <f t="shared" si="2"/>
        <v>6893.8601769787101</v>
      </c>
      <c r="H25" s="233">
        <f t="shared" si="3"/>
        <v>97009.679483889951</v>
      </c>
      <c r="J25" s="1">
        <v>21</v>
      </c>
      <c r="K25" s="7">
        <f t="shared" si="6"/>
        <v>3.1502499999999933E-2</v>
      </c>
      <c r="M25" s="1">
        <v>21</v>
      </c>
      <c r="N25" s="7">
        <f t="shared" si="7"/>
        <v>1.0499999999999992E-2</v>
      </c>
    </row>
    <row r="26" spans="1:14" x14ac:dyDescent="0.3">
      <c r="A26" s="244">
        <v>22</v>
      </c>
      <c r="B26" s="244">
        <f t="shared" si="4"/>
        <v>2003</v>
      </c>
      <c r="C26" s="252">
        <f t="shared" si="5"/>
        <v>58832.13530902331</v>
      </c>
      <c r="D26" s="233"/>
      <c r="E26" s="253">
        <f t="shared" si="0"/>
        <v>60659.167271045022</v>
      </c>
      <c r="F26" s="228">
        <f t="shared" si="1"/>
        <v>30329.583635522511</v>
      </c>
      <c r="G26" s="228">
        <f t="shared" si="2"/>
        <v>6960.6394443524159</v>
      </c>
      <c r="H26" s="233">
        <f t="shared" si="3"/>
        <v>97949.390350919944</v>
      </c>
      <c r="J26" s="1">
        <v>22</v>
      </c>
      <c r="K26" s="7">
        <f t="shared" si="6"/>
        <v>3.1054999999999933E-2</v>
      </c>
      <c r="M26" s="1">
        <v>22</v>
      </c>
      <c r="N26" s="7">
        <f t="shared" si="7"/>
        <v>1.0124999999999992E-2</v>
      </c>
    </row>
    <row r="27" spans="1:14" x14ac:dyDescent="0.3">
      <c r="A27" s="244">
        <v>23</v>
      </c>
      <c r="B27" s="244">
        <f t="shared" si="4"/>
        <v>2002</v>
      </c>
      <c r="C27" s="252">
        <f t="shared" si="5"/>
        <v>59405.748628286288</v>
      </c>
      <c r="D27" s="233"/>
      <c r="E27" s="253">
        <f t="shared" si="0"/>
        <v>61224.01007942656</v>
      </c>
      <c r="F27" s="228">
        <f t="shared" si="1"/>
        <v>30612.00503971328</v>
      </c>
      <c r="G27" s="228">
        <f t="shared" si="2"/>
        <v>7025.4551566141972</v>
      </c>
      <c r="H27" s="233">
        <f t="shared" si="3"/>
        <v>98861.470275754036</v>
      </c>
      <c r="J27" s="1">
        <v>23</v>
      </c>
      <c r="K27" s="7">
        <f t="shared" si="6"/>
        <v>3.0607499999999933E-2</v>
      </c>
      <c r="M27" s="1">
        <v>23</v>
      </c>
      <c r="N27" s="7">
        <f t="shared" si="7"/>
        <v>9.7499999999999913E-3</v>
      </c>
    </row>
    <row r="28" spans="1:14" x14ac:dyDescent="0.3">
      <c r="A28" s="244">
        <v>24</v>
      </c>
      <c r="B28" s="244">
        <f t="shared" si="4"/>
        <v>2001</v>
      </c>
      <c r="C28" s="252">
        <f t="shared" si="5"/>
        <v>59962.677521676473</v>
      </c>
      <c r="D28" s="233"/>
      <c r="E28" s="253">
        <f t="shared" si="0"/>
        <v>61771.151875730233</v>
      </c>
      <c r="F28" s="228">
        <f t="shared" si="1"/>
        <v>30885.575937865116</v>
      </c>
      <c r="G28" s="228">
        <f t="shared" si="2"/>
        <v>7088.2396777400445</v>
      </c>
      <c r="H28" s="233">
        <f t="shared" si="3"/>
        <v>99744.967491335396</v>
      </c>
      <c r="J28" s="1">
        <v>24</v>
      </c>
      <c r="K28" s="7">
        <f t="shared" si="6"/>
        <v>3.0159999999999933E-2</v>
      </c>
      <c r="M28" s="1">
        <v>24</v>
      </c>
      <c r="N28" s="7">
        <f t="shared" si="7"/>
        <v>9.374999999999991E-3</v>
      </c>
    </row>
    <row r="29" spans="1:14" s="235" customFormat="1" x14ac:dyDescent="0.3">
      <c r="A29" s="254">
        <v>25</v>
      </c>
      <c r="B29" s="254">
        <f t="shared" si="4"/>
        <v>2000</v>
      </c>
      <c r="C29" s="255">
        <f t="shared" si="5"/>
        <v>60502.34161937156</v>
      </c>
      <c r="D29" s="239"/>
      <c r="E29" s="258">
        <f t="shared" si="0"/>
        <v>62300.017444737132</v>
      </c>
      <c r="F29" s="236">
        <f t="shared" si="1"/>
        <v>31150.008722368566</v>
      </c>
      <c r="G29" s="236">
        <f t="shared" si="2"/>
        <v>7148.9270017835852</v>
      </c>
      <c r="H29" s="239">
        <f t="shared" si="3"/>
        <v>100598.95316888927</v>
      </c>
      <c r="J29" s="235">
        <v>25</v>
      </c>
      <c r="K29" s="242">
        <f t="shared" si="6"/>
        <v>2.9712499999999933E-2</v>
      </c>
      <c r="M29" s="235">
        <v>25</v>
      </c>
      <c r="N29" s="242">
        <f t="shared" si="7"/>
        <v>8.9999999999999906E-3</v>
      </c>
    </row>
    <row r="30" spans="1:14" x14ac:dyDescent="0.3">
      <c r="A30" s="244">
        <v>26</v>
      </c>
      <c r="B30" s="257">
        <f t="shared" si="4"/>
        <v>1999</v>
      </c>
      <c r="C30" s="252">
        <f t="shared" si="5"/>
        <v>61024.174315838638</v>
      </c>
      <c r="D30" s="233"/>
      <c r="E30" s="253">
        <f t="shared" si="0"/>
        <v>62810.046777191652</v>
      </c>
      <c r="F30" s="228">
        <f t="shared" si="1"/>
        <v>31405.023388595826</v>
      </c>
      <c r="G30" s="228">
        <f t="shared" si="2"/>
        <v>7207.4528676827413</v>
      </c>
      <c r="H30" s="233">
        <f t="shared" si="3"/>
        <v>101422.52303347022</v>
      </c>
      <c r="J30" s="1">
        <v>26</v>
      </c>
      <c r="K30" s="7">
        <f t="shared" si="6"/>
        <v>2.9264999999999933E-2</v>
      </c>
      <c r="M30" s="1">
        <v>26</v>
      </c>
      <c r="N30" s="7">
        <f t="shared" si="7"/>
        <v>8.6249999999999903E-3</v>
      </c>
    </row>
    <row r="31" spans="1:14" x14ac:dyDescent="0.3">
      <c r="A31" s="244">
        <v>27</v>
      </c>
      <c r="B31" s="244">
        <f t="shared" si="4"/>
        <v>1998</v>
      </c>
      <c r="C31" s="252">
        <f t="shared" si="5"/>
        <v>61527.623753944303</v>
      </c>
      <c r="D31" s="233"/>
      <c r="E31" s="253">
        <f t="shared" si="0"/>
        <v>63300.696051473591</v>
      </c>
      <c r="F31" s="228">
        <f t="shared" si="1"/>
        <v>31650.348025736796</v>
      </c>
      <c r="G31" s="228">
        <f t="shared" si="2"/>
        <v>7263.7548719065944</v>
      </c>
      <c r="H31" s="233">
        <f t="shared" si="3"/>
        <v>102214.79894911699</v>
      </c>
      <c r="J31" s="1">
        <v>27</v>
      </c>
      <c r="K31" s="7">
        <f t="shared" si="6"/>
        <v>2.8817499999999933E-2</v>
      </c>
      <c r="M31" s="1">
        <v>27</v>
      </c>
      <c r="N31" s="7">
        <f t="shared" si="7"/>
        <v>8.24999999999999E-3</v>
      </c>
    </row>
    <row r="32" spans="1:14" x14ac:dyDescent="0.3">
      <c r="A32" s="244">
        <v>28</v>
      </c>
      <c r="B32" s="244">
        <f t="shared" si="4"/>
        <v>1997</v>
      </c>
      <c r="C32" s="252">
        <f t="shared" si="5"/>
        <v>62012.153791006611</v>
      </c>
      <c r="D32" s="233"/>
      <c r="E32" s="253">
        <f t="shared" si="0"/>
        <v>63771.438594057465</v>
      </c>
      <c r="F32" s="228">
        <f t="shared" si="1"/>
        <v>31885.719297028732</v>
      </c>
      <c r="G32" s="228">
        <f t="shared" si="2"/>
        <v>7317.772578668094</v>
      </c>
      <c r="H32" s="233">
        <f t="shared" si="3"/>
        <v>102974.9304697543</v>
      </c>
      <c r="J32" s="1">
        <v>28</v>
      </c>
      <c r="K32" s="7">
        <f t="shared" si="6"/>
        <v>2.8369999999999933E-2</v>
      </c>
      <c r="M32" s="1">
        <v>28</v>
      </c>
      <c r="N32" s="7">
        <f t="shared" si="7"/>
        <v>7.8749999999999896E-3</v>
      </c>
    </row>
    <row r="33" spans="1:14" x14ac:dyDescent="0.3">
      <c r="A33" s="244">
        <v>29</v>
      </c>
      <c r="B33" s="244">
        <f t="shared" si="4"/>
        <v>1996</v>
      </c>
      <c r="C33" s="252">
        <f t="shared" si="5"/>
        <v>62477.24494443916</v>
      </c>
      <c r="D33" s="233"/>
      <c r="E33" s="253">
        <f t="shared" si="0"/>
        <v>64221.765816400257</v>
      </c>
      <c r="F33" s="228">
        <f t="shared" si="1"/>
        <v>32110.882908200128</v>
      </c>
      <c r="G33" s="228">
        <f t="shared" si="2"/>
        <v>7369.4476274319295</v>
      </c>
      <c r="H33" s="233">
        <f t="shared" si="3"/>
        <v>103702.09635203231</v>
      </c>
      <c r="J33" s="1">
        <v>29</v>
      </c>
      <c r="K33" s="7">
        <f t="shared" si="6"/>
        <v>2.7922499999999933E-2</v>
      </c>
      <c r="M33" s="1">
        <v>29</v>
      </c>
      <c r="N33" s="7">
        <f t="shared" si="7"/>
        <v>7.4999999999999893E-3</v>
      </c>
    </row>
    <row r="34" spans="1:14" s="235" customFormat="1" x14ac:dyDescent="0.3">
      <c r="A34" s="254">
        <v>30</v>
      </c>
      <c r="B34" s="254">
        <f t="shared" si="4"/>
        <v>1995</v>
      </c>
      <c r="C34" s="255">
        <f t="shared" si="5"/>
        <v>62922.395314668291</v>
      </c>
      <c r="D34" s="239"/>
      <c r="E34" s="258">
        <f t="shared" si="0"/>
        <v>64651.188125938796</v>
      </c>
      <c r="F34" s="236">
        <f t="shared" si="1"/>
        <v>32325.594062969398</v>
      </c>
      <c r="G34" s="236">
        <f t="shared" si="2"/>
        <v>7418.7238374514773</v>
      </c>
      <c r="H34" s="239">
        <f t="shared" si="3"/>
        <v>104395.50602635967</v>
      </c>
      <c r="J34" s="235">
        <v>30</v>
      </c>
      <c r="K34" s="242">
        <f t="shared" si="6"/>
        <v>2.7474999999999934E-2</v>
      </c>
      <c r="M34" s="235">
        <v>30</v>
      </c>
      <c r="N34" s="242">
        <f t="shared" si="7"/>
        <v>7.124999999999989E-3</v>
      </c>
    </row>
    <row r="35" spans="1:14" x14ac:dyDescent="0.3">
      <c r="A35" s="244">
        <v>31</v>
      </c>
      <c r="B35" s="257">
        <f t="shared" si="4"/>
        <v>1994</v>
      </c>
      <c r="C35" s="252">
        <f t="shared" si="5"/>
        <v>63347.121483042298</v>
      </c>
      <c r="D35" s="233"/>
      <c r="E35" s="253">
        <f t="shared" si="0"/>
        <v>65059.235808925223</v>
      </c>
      <c r="F35" s="228">
        <f t="shared" si="1"/>
        <v>32529.617904462611</v>
      </c>
      <c r="G35" s="228">
        <f t="shared" si="2"/>
        <v>7465.5473090741689</v>
      </c>
      <c r="H35" s="233">
        <f t="shared" si="3"/>
        <v>105054.401022462</v>
      </c>
      <c r="J35" s="1">
        <v>31</v>
      </c>
      <c r="K35" s="7">
        <f t="shared" si="6"/>
        <v>2.7027499999999934E-2</v>
      </c>
      <c r="M35" s="1">
        <v>31</v>
      </c>
      <c r="N35" s="7">
        <f t="shared" si="7"/>
        <v>6.7499999999999886E-3</v>
      </c>
    </row>
    <row r="36" spans="1:14" x14ac:dyDescent="0.3">
      <c r="A36" s="244">
        <v>32</v>
      </c>
      <c r="B36" s="244">
        <f t="shared" si="4"/>
        <v>1993</v>
      </c>
      <c r="C36" s="252">
        <f t="shared" si="5"/>
        <v>63750.959382496694</v>
      </c>
      <c r="D36" s="233"/>
      <c r="E36" s="253">
        <f t="shared" si="0"/>
        <v>65445.45988288345</v>
      </c>
      <c r="F36" s="228">
        <f t="shared" si="1"/>
        <v>32722.729941441725</v>
      </c>
      <c r="G36" s="228">
        <f t="shared" si="2"/>
        <v>7509.8665215608762</v>
      </c>
      <c r="H36" s="233">
        <f t="shared" si="3"/>
        <v>105678.05634588606</v>
      </c>
      <c r="J36" s="1">
        <v>32</v>
      </c>
      <c r="K36" s="7">
        <f t="shared" si="6"/>
        <v>2.6579999999999934E-2</v>
      </c>
      <c r="M36" s="1">
        <v>32</v>
      </c>
      <c r="N36" s="7">
        <f t="shared" si="7"/>
        <v>6.3749999999999883E-3</v>
      </c>
    </row>
    <row r="37" spans="1:14" x14ac:dyDescent="0.3">
      <c r="A37" s="244">
        <v>33</v>
      </c>
      <c r="B37" s="244">
        <f t="shared" si="4"/>
        <v>1992</v>
      </c>
      <c r="C37" s="252">
        <f t="shared" si="5"/>
        <v>64133.465138791675</v>
      </c>
      <c r="D37" s="233"/>
      <c r="E37" s="253">
        <f t="shared" si="0"/>
        <v>65809.43291653115</v>
      </c>
      <c r="F37" s="228">
        <f t="shared" si="1"/>
        <v>32904.716458265575</v>
      </c>
      <c r="G37" s="228">
        <f t="shared" si="2"/>
        <v>7551.6324271719486</v>
      </c>
      <c r="H37" s="233">
        <f t="shared" si="3"/>
        <v>106265.78180196867</v>
      </c>
      <c r="J37" s="1">
        <v>33</v>
      </c>
      <c r="K37" s="7">
        <f t="shared" si="6"/>
        <v>2.6132499999999934E-2</v>
      </c>
      <c r="M37" s="1">
        <v>33</v>
      </c>
      <c r="N37" s="7">
        <f t="shared" si="7"/>
        <v>5.999999999999988E-3</v>
      </c>
    </row>
    <row r="38" spans="1:14" x14ac:dyDescent="0.3">
      <c r="A38" s="244">
        <v>34</v>
      </c>
      <c r="B38" s="244">
        <f t="shared" si="4"/>
        <v>1991</v>
      </c>
      <c r="C38" s="252">
        <f t="shared" si="5"/>
        <v>64494.215880197378</v>
      </c>
      <c r="D38" s="233"/>
      <c r="E38" s="253">
        <f t="shared" si="0"/>
        <v>66150.749815080242</v>
      </c>
      <c r="F38" s="228">
        <f t="shared" si="1"/>
        <v>33075.374907540121</v>
      </c>
      <c r="G38" s="228">
        <f t="shared" si="2"/>
        <v>7590.7985412804574</v>
      </c>
      <c r="H38" s="233">
        <f t="shared" si="3"/>
        <v>106816.92326390081</v>
      </c>
      <c r="J38" s="1">
        <v>34</v>
      </c>
      <c r="K38" s="7">
        <f t="shared" si="6"/>
        <v>2.5684999999999934E-2</v>
      </c>
      <c r="M38" s="1">
        <v>34</v>
      </c>
      <c r="N38" s="7">
        <f t="shared" si="7"/>
        <v>5.6249999999999876E-3</v>
      </c>
    </row>
    <row r="39" spans="1:14" s="235" customFormat="1" x14ac:dyDescent="0.3">
      <c r="A39" s="254">
        <v>35</v>
      </c>
      <c r="B39" s="254">
        <f t="shared" si="4"/>
        <v>1990</v>
      </c>
      <c r="C39" s="255">
        <f t="shared" si="5"/>
        <v>64832.810513568416</v>
      </c>
      <c r="D39" s="239"/>
      <c r="E39" s="258">
        <f t="shared" si="0"/>
        <v>66469.0285689046</v>
      </c>
      <c r="F39" s="236">
        <f t="shared" si="1"/>
        <v>33234.5142844523</v>
      </c>
      <c r="G39" s="236">
        <f t="shared" si="2"/>
        <v>7627.3210282818018</v>
      </c>
      <c r="H39" s="239">
        <f t="shared" si="3"/>
        <v>107330.8638816387</v>
      </c>
      <c r="J39" s="235">
        <v>35</v>
      </c>
      <c r="K39" s="242">
        <f t="shared" si="6"/>
        <v>2.5237499999999934E-2</v>
      </c>
      <c r="M39" s="235">
        <v>35</v>
      </c>
      <c r="N39" s="242">
        <f t="shared" si="7"/>
        <v>5.2499999999999873E-3</v>
      </c>
    </row>
    <row r="40" spans="1:14" x14ac:dyDescent="0.3">
      <c r="A40" s="244">
        <v>36</v>
      </c>
      <c r="B40" s="257">
        <f t="shared" si="4"/>
        <v>1989</v>
      </c>
      <c r="C40" s="252">
        <f t="shared" si="5"/>
        <v>65148.870464822059</v>
      </c>
      <c r="D40" s="233"/>
      <c r="E40" s="253">
        <f t="shared" si="0"/>
        <v>66763.910963644987</v>
      </c>
      <c r="F40" s="228">
        <f t="shared" si="1"/>
        <v>33381.955481822493</v>
      </c>
      <c r="G40" s="228">
        <f t="shared" si="2"/>
        <v>7661.1587830782628</v>
      </c>
      <c r="H40" s="233">
        <f t="shared" si="3"/>
        <v>107807.02522854575</v>
      </c>
      <c r="J40" s="1">
        <v>36</v>
      </c>
      <c r="K40" s="7">
        <f t="shared" si="6"/>
        <v>2.4789999999999934E-2</v>
      </c>
      <c r="M40" s="1">
        <v>36</v>
      </c>
      <c r="N40" s="7">
        <f t="shared" si="7"/>
        <v>4.874999999999987E-3</v>
      </c>
    </row>
    <row r="41" spans="1:14" x14ac:dyDescent="0.3">
      <c r="A41" s="244">
        <v>37</v>
      </c>
      <c r="B41" s="244">
        <f t="shared" si="4"/>
        <v>1988</v>
      </c>
      <c r="C41" s="252">
        <f t="shared" si="5"/>
        <v>65442.040381913757</v>
      </c>
      <c r="D41" s="233"/>
      <c r="E41" s="253">
        <f t="shared" si="0"/>
        <v>67035.063249910483</v>
      </c>
      <c r="F41" s="228">
        <f t="shared" si="1"/>
        <v>33517.531624955242</v>
      </c>
      <c r="G41" s="228">
        <f t="shared" si="2"/>
        <v>7692.2735079272279</v>
      </c>
      <c r="H41" s="233">
        <f t="shared" si="3"/>
        <v>108244.86838279295</v>
      </c>
      <c r="J41" s="1">
        <v>37</v>
      </c>
      <c r="K41" s="7">
        <f t="shared" si="6"/>
        <v>2.4342499999999934E-2</v>
      </c>
      <c r="M41" s="1">
        <v>37</v>
      </c>
      <c r="N41" s="7">
        <f t="shared" si="7"/>
        <v>4.4999999999999866E-3</v>
      </c>
    </row>
    <row r="42" spans="1:14" x14ac:dyDescent="0.3">
      <c r="A42" s="244">
        <v>38</v>
      </c>
      <c r="B42" s="244">
        <f t="shared" si="4"/>
        <v>1987</v>
      </c>
      <c r="C42" s="252">
        <f t="shared" si="5"/>
        <v>65711.988798489154</v>
      </c>
      <c r="D42" s="233"/>
      <c r="E42" s="253">
        <f t="shared" si="0"/>
        <v>67282.176770829043</v>
      </c>
      <c r="F42" s="228">
        <f t="shared" si="1"/>
        <v>33641.088385414521</v>
      </c>
      <c r="G42" s="228">
        <f t="shared" si="2"/>
        <v>7720.6297844526325</v>
      </c>
      <c r="H42" s="233">
        <f t="shared" si="3"/>
        <v>108643.89494069619</v>
      </c>
      <c r="J42" s="1">
        <v>38</v>
      </c>
      <c r="K42" s="7">
        <f t="shared" si="6"/>
        <v>2.3894999999999934E-2</v>
      </c>
      <c r="M42" s="1">
        <v>38</v>
      </c>
      <c r="N42" s="7">
        <f t="shared" si="7"/>
        <v>4.1249999999999863E-3</v>
      </c>
    </row>
    <row r="43" spans="1:14" x14ac:dyDescent="0.3">
      <c r="A43" s="244">
        <v>39</v>
      </c>
      <c r="B43" s="244">
        <f t="shared" si="4"/>
        <v>1986</v>
      </c>
      <c r="C43" s="252">
        <f t="shared" si="5"/>
        <v>65958.408756483492</v>
      </c>
      <c r="D43" s="233"/>
      <c r="E43" s="253">
        <f t="shared" si="0"/>
        <v>67504.968545801137</v>
      </c>
      <c r="F43" s="228">
        <f t="shared" si="1"/>
        <v>33752.484272900569</v>
      </c>
      <c r="G43" s="228">
        <f t="shared" si="2"/>
        <v>7746.1951406306807</v>
      </c>
      <c r="H43" s="233">
        <f t="shared" si="3"/>
        <v>109003.64795933239</v>
      </c>
      <c r="J43" s="1">
        <v>39</v>
      </c>
      <c r="K43" s="7">
        <f t="shared" si="6"/>
        <v>2.3447499999999934E-2</v>
      </c>
      <c r="M43" s="1">
        <v>39</v>
      </c>
      <c r="N43" s="7">
        <f t="shared" si="7"/>
        <v>3.7499999999999864E-3</v>
      </c>
    </row>
    <row r="44" spans="1:14" s="235" customFormat="1" x14ac:dyDescent="0.3">
      <c r="A44" s="254">
        <v>40</v>
      </c>
      <c r="B44" s="254">
        <f t="shared" si="4"/>
        <v>1985</v>
      </c>
      <c r="C44" s="255">
        <f t="shared" si="5"/>
        <v>66181.018386036623</v>
      </c>
      <c r="D44" s="239"/>
      <c r="E44" s="258">
        <f t="shared" si="0"/>
        <v>67703.181808915455</v>
      </c>
      <c r="F44" s="236">
        <f t="shared" si="1"/>
        <v>33851.590904457727</v>
      </c>
      <c r="G44" s="236">
        <f t="shared" si="2"/>
        <v>7768.9401125730483</v>
      </c>
      <c r="H44" s="239">
        <f t="shared" si="3"/>
        <v>109323.71282594623</v>
      </c>
      <c r="J44" s="235">
        <v>40</v>
      </c>
      <c r="K44" s="242">
        <f t="shared" si="6"/>
        <v>2.2999999999999934E-2</v>
      </c>
      <c r="M44" s="235">
        <v>40</v>
      </c>
      <c r="N44" s="242">
        <f t="shared" si="7"/>
        <v>3.3749999999999865E-3</v>
      </c>
    </row>
    <row r="45" spans="1:14" x14ac:dyDescent="0.3">
      <c r="N45" s="7"/>
    </row>
  </sheetData>
  <sheetProtection algorithmName="SHA-512" hashValue="opfGBkbYtLAeLXQ/Q19uWbzrcugQkaeFFDdWWEXufGF5KlW8POozIARfKHzHPO6gWPo2cKp+fkCs4mU4lRigQw==" saltValue="uuA6ty54lRjTYRAAuWb7Xw==" spinCount="100000" sheet="1" objects="1" scenarios="1"/>
  <mergeCells count="2">
    <mergeCell ref="B2:C2"/>
    <mergeCell ref="K2:P2"/>
  </mergeCells>
  <pageMargins left="0.7" right="0.7" top="0.75" bottom="0.75" header="0.3" footer="0.3"/>
  <pageSetup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8BE33-375B-4E1D-AE5A-0DC12A1A2928}">
  <dimension ref="A2:Y45"/>
  <sheetViews>
    <sheetView zoomScaleNormal="100" workbookViewId="0">
      <selection activeCell="Y4" sqref="Y4"/>
    </sheetView>
  </sheetViews>
  <sheetFormatPr defaultColWidth="12.1796875" defaultRowHeight="13" x14ac:dyDescent="0.3"/>
  <cols>
    <col min="1" max="1" width="8.81640625" style="1" customWidth="1"/>
    <col min="2" max="2" width="9.1796875" style="1" customWidth="1"/>
    <col min="3" max="3" width="8.54296875" style="1" customWidth="1"/>
    <col min="4" max="4" width="8.1796875" style="1" hidden="1" customWidth="1"/>
    <col min="5" max="5" width="9.453125" style="1" customWidth="1"/>
    <col min="6" max="6" width="10.1796875" style="1" hidden="1" customWidth="1"/>
    <col min="7" max="7" width="2.81640625" style="1" hidden="1" customWidth="1"/>
    <col min="8" max="8" width="10.7265625" style="1" hidden="1" customWidth="1"/>
    <col min="9" max="9" width="10.54296875" style="1" hidden="1" customWidth="1"/>
    <col min="10" max="10" width="12.1796875" style="1" hidden="1" customWidth="1"/>
    <col min="11" max="11" width="2.81640625" style="1" hidden="1" customWidth="1"/>
    <col min="12" max="12" width="9.7265625" style="1" hidden="1" customWidth="1"/>
    <col min="13" max="13" width="10.1796875" style="1" hidden="1" customWidth="1"/>
    <col min="14" max="14" width="13" style="1" hidden="1" customWidth="1"/>
    <col min="15" max="15" width="0" style="1" hidden="1" customWidth="1"/>
    <col min="16" max="16" width="5.54296875" style="1" hidden="1" customWidth="1"/>
    <col min="17" max="17" width="8.7265625" style="1" hidden="1" customWidth="1"/>
    <col min="18" max="18" width="12.453125" style="1" hidden="1" customWidth="1"/>
    <col min="19" max="19" width="5.453125" style="1" hidden="1" customWidth="1"/>
    <col min="20" max="20" width="8.81640625" style="1" hidden="1" customWidth="1"/>
    <col min="21" max="21" width="12.453125" style="1" hidden="1" customWidth="1"/>
    <col min="22" max="23" width="0" style="1" hidden="1" customWidth="1"/>
    <col min="24" max="16384" width="12.1796875" style="1"/>
  </cols>
  <sheetData>
    <row r="2" spans="1:25" ht="30.65" customHeight="1" x14ac:dyDescent="0.3">
      <c r="B2" s="420" t="s">
        <v>62</v>
      </c>
      <c r="C2" s="420"/>
      <c r="D2" s="223"/>
      <c r="E2" s="224">
        <v>0.05</v>
      </c>
      <c r="F2" s="223"/>
      <c r="G2" s="420" t="s">
        <v>63</v>
      </c>
      <c r="H2" s="420"/>
      <c r="I2" s="420"/>
      <c r="J2" s="420"/>
      <c r="K2" s="420"/>
      <c r="L2" s="420"/>
      <c r="M2" s="420"/>
      <c r="N2" s="420"/>
      <c r="X2" s="421" t="s">
        <v>98</v>
      </c>
      <c r="Y2" s="421"/>
    </row>
    <row r="3" spans="1:25" s="225" customFormat="1" ht="39" x14ac:dyDescent="0.3">
      <c r="A3" s="225" t="s">
        <v>64</v>
      </c>
      <c r="B3" s="225" t="s">
        <v>10</v>
      </c>
      <c r="C3" s="225" t="s">
        <v>65</v>
      </c>
      <c r="D3" s="225" t="s">
        <v>66</v>
      </c>
      <c r="E3" s="225" t="s">
        <v>67</v>
      </c>
      <c r="F3" s="225" t="s">
        <v>68</v>
      </c>
      <c r="H3" s="225" t="s">
        <v>69</v>
      </c>
      <c r="I3" s="225" t="s">
        <v>70</v>
      </c>
      <c r="J3" s="225" t="s">
        <v>71</v>
      </c>
      <c r="L3" s="225" t="s">
        <v>72</v>
      </c>
      <c r="M3" s="225" t="s">
        <v>73</v>
      </c>
      <c r="N3" s="225" t="s">
        <v>74</v>
      </c>
      <c r="P3" s="1" t="s">
        <v>75</v>
      </c>
      <c r="Q3" s="226" t="s">
        <v>76</v>
      </c>
      <c r="R3" s="1" t="s">
        <v>77</v>
      </c>
      <c r="S3" s="225" t="s">
        <v>75</v>
      </c>
      <c r="T3" s="225" t="s">
        <v>78</v>
      </c>
      <c r="U3" s="225" t="s">
        <v>79</v>
      </c>
    </row>
    <row r="4" spans="1:25" x14ac:dyDescent="0.3">
      <c r="A4" s="1" t="s">
        <v>80</v>
      </c>
      <c r="B4" s="1">
        <v>2024</v>
      </c>
      <c r="C4" s="227">
        <v>41212</v>
      </c>
      <c r="D4" s="228"/>
      <c r="E4" s="229">
        <f t="shared" ref="E4:E44" si="0">SUM(C4*Q4)+C4</f>
        <v>42897.570800000001</v>
      </c>
      <c r="F4" s="6">
        <f t="shared" ref="F4:F44" si="1">SUM(E4-C4)/C4</f>
        <v>4.0900000000000034E-2</v>
      </c>
      <c r="G4" s="6"/>
      <c r="H4" s="228">
        <f t="shared" ref="H4:H44" si="2">SUM(C4*0.5)</f>
        <v>20606</v>
      </c>
      <c r="I4" s="228">
        <f>SUM(C4+H4)*0.0765</f>
        <v>4729.0770000000002</v>
      </c>
      <c r="J4" s="230">
        <f t="shared" ref="J4:J44" si="3">SUM(C4+H4+I4)</f>
        <v>66547.077000000005</v>
      </c>
      <c r="K4" s="231"/>
      <c r="L4" s="228">
        <f t="shared" ref="L4:L44" si="4">SUM(E4*0.5)</f>
        <v>21448.785400000001</v>
      </c>
      <c r="M4" s="228">
        <f>SUM(E4+L4)*0.0765</f>
        <v>4922.4962493000003</v>
      </c>
      <c r="N4" s="232">
        <f t="shared" ref="N4:N44" si="5">SUM(E4+L4+M4)</f>
        <v>69268.8524493</v>
      </c>
      <c r="P4" s="1">
        <v>0</v>
      </c>
      <c r="Q4" s="7">
        <v>4.0899999999999999E-2</v>
      </c>
      <c r="R4" s="9">
        <f>((0.0409-0.023)/40)</f>
        <v>4.4749999999999998E-4</v>
      </c>
      <c r="S4" s="1">
        <v>0</v>
      </c>
      <c r="T4" s="7">
        <v>0</v>
      </c>
      <c r="U4" s="9"/>
    </row>
    <row r="5" spans="1:25" x14ac:dyDescent="0.3">
      <c r="A5" s="1">
        <v>1</v>
      </c>
      <c r="B5" s="1">
        <f t="shared" ref="B5:B44" si="6">B4-1</f>
        <v>2023</v>
      </c>
      <c r="C5" s="228">
        <f t="shared" ref="C5:C44" si="7">SUM(C4*T5)+C4</f>
        <v>41953.815999999999</v>
      </c>
      <c r="D5" s="6">
        <f t="shared" ref="D5:D44" si="8">SUM(C5-C4)/C4</f>
        <v>1.7999999999999974E-2</v>
      </c>
      <c r="E5" s="228">
        <f t="shared" si="0"/>
        <v>43650.952741740002</v>
      </c>
      <c r="F5" s="6">
        <f t="shared" si="1"/>
        <v>4.0452500000000079E-2</v>
      </c>
      <c r="G5" s="6"/>
      <c r="H5" s="228">
        <f t="shared" si="2"/>
        <v>20976.907999999999</v>
      </c>
      <c r="I5" s="228">
        <f t="shared" ref="I5:I44" si="9">SUM(C5+H5)*0.0765</f>
        <v>4814.2003860000004</v>
      </c>
      <c r="J5" s="233">
        <f t="shared" si="3"/>
        <v>67744.924385999999</v>
      </c>
      <c r="K5" s="233"/>
      <c r="L5" s="228">
        <f t="shared" si="4"/>
        <v>21825.476370870001</v>
      </c>
      <c r="M5" s="228">
        <f t="shared" ref="M5:M44" si="10">SUM(E5+L5)*0.0765</f>
        <v>5008.9468271146652</v>
      </c>
      <c r="N5" s="233">
        <f t="shared" si="5"/>
        <v>70485.375939724661</v>
      </c>
      <c r="P5" s="1">
        <v>1</v>
      </c>
      <c r="Q5" s="7">
        <f t="shared" ref="Q5:Q44" si="11">Q4-$R$4</f>
        <v>4.0452500000000002E-2</v>
      </c>
      <c r="R5" s="234"/>
      <c r="S5" s="1">
        <v>1</v>
      </c>
      <c r="T5" s="7">
        <v>1.7999999999999999E-2</v>
      </c>
      <c r="U5" s="9">
        <f>((0.02-0.005)/40)</f>
        <v>3.7500000000000001E-4</v>
      </c>
    </row>
    <row r="6" spans="1:25" x14ac:dyDescent="0.3">
      <c r="A6" s="1">
        <v>2</v>
      </c>
      <c r="B6" s="1">
        <f t="shared" si="6"/>
        <v>2022</v>
      </c>
      <c r="C6" s="228">
        <f t="shared" si="7"/>
        <v>42693.252006999996</v>
      </c>
      <c r="D6" s="6">
        <f t="shared" si="8"/>
        <v>1.7624999999999919E-2</v>
      </c>
      <c r="E6" s="228">
        <f t="shared" si="0"/>
        <v>44401.195553540034</v>
      </c>
      <c r="F6" s="6">
        <f t="shared" si="1"/>
        <v>4.0005000000000082E-2</v>
      </c>
      <c r="G6" s="6"/>
      <c r="H6" s="228">
        <f t="shared" si="2"/>
        <v>21346.626003499998</v>
      </c>
      <c r="I6" s="228">
        <f t="shared" si="9"/>
        <v>4899.0506678032489</v>
      </c>
      <c r="J6" s="233">
        <f t="shared" si="3"/>
        <v>68938.928678303244</v>
      </c>
      <c r="K6" s="233"/>
      <c r="L6" s="228">
        <f t="shared" si="4"/>
        <v>22200.597776770017</v>
      </c>
      <c r="M6" s="228">
        <f t="shared" si="10"/>
        <v>5095.0371897687191</v>
      </c>
      <c r="N6" s="233">
        <f t="shared" si="5"/>
        <v>71696.830520078773</v>
      </c>
      <c r="P6" s="1">
        <v>2</v>
      </c>
      <c r="Q6" s="7">
        <f t="shared" si="11"/>
        <v>4.0004999999999999E-2</v>
      </c>
      <c r="S6" s="1">
        <v>2</v>
      </c>
      <c r="T6" s="7">
        <f t="shared" ref="T6:T44" si="12">T5-$U$5</f>
        <v>1.7624999999999998E-2</v>
      </c>
    </row>
    <row r="7" spans="1:25" x14ac:dyDescent="0.3">
      <c r="A7" s="1">
        <v>3</v>
      </c>
      <c r="B7" s="1">
        <f t="shared" si="6"/>
        <v>2021</v>
      </c>
      <c r="C7" s="228">
        <f t="shared" si="7"/>
        <v>43429.710604120744</v>
      </c>
      <c r="D7" s="6">
        <f t="shared" si="8"/>
        <v>1.7249999999999977E-2</v>
      </c>
      <c r="E7" s="228">
        <f t="shared" si="0"/>
        <v>45147.681381343253</v>
      </c>
      <c r="F7" s="6">
        <f t="shared" si="1"/>
        <v>3.9557500000000044E-2</v>
      </c>
      <c r="G7" s="6"/>
      <c r="H7" s="228">
        <f t="shared" si="2"/>
        <v>21714.855302060372</v>
      </c>
      <c r="I7" s="228">
        <f t="shared" si="9"/>
        <v>4983.5592918228549</v>
      </c>
      <c r="J7" s="233">
        <f t="shared" si="3"/>
        <v>70128.125198003967</v>
      </c>
      <c r="K7" s="233"/>
      <c r="L7" s="228">
        <f t="shared" si="4"/>
        <v>22573.840690671626</v>
      </c>
      <c r="M7" s="228">
        <f t="shared" si="10"/>
        <v>5180.6964385091378</v>
      </c>
      <c r="N7" s="233">
        <f t="shared" si="5"/>
        <v>72902.218510524021</v>
      </c>
      <c r="P7" s="1">
        <v>3</v>
      </c>
      <c r="Q7" s="7">
        <f t="shared" si="11"/>
        <v>3.9557499999999995E-2</v>
      </c>
      <c r="S7" s="1">
        <v>3</v>
      </c>
      <c r="T7" s="7">
        <f t="shared" si="12"/>
        <v>1.7249999999999998E-2</v>
      </c>
    </row>
    <row r="8" spans="1:25" x14ac:dyDescent="0.3">
      <c r="A8" s="1">
        <v>4</v>
      </c>
      <c r="B8" s="1">
        <f t="shared" si="6"/>
        <v>2020</v>
      </c>
      <c r="C8" s="228">
        <f t="shared" si="7"/>
        <v>44162.58697056528</v>
      </c>
      <c r="D8" s="6">
        <f t="shared" si="8"/>
        <v>1.6874999999999963E-2</v>
      </c>
      <c r="E8" s="228">
        <f t="shared" si="0"/>
        <v>45889.785746984089</v>
      </c>
      <c r="F8" s="6">
        <f t="shared" si="1"/>
        <v>3.911000000000002E-2</v>
      </c>
      <c r="G8" s="6"/>
      <c r="H8" s="228">
        <f t="shared" si="2"/>
        <v>22081.29348528264</v>
      </c>
      <c r="I8" s="228">
        <f t="shared" si="9"/>
        <v>5067.6568548723653</v>
      </c>
      <c r="J8" s="233">
        <f t="shared" si="3"/>
        <v>71311.537310720276</v>
      </c>
      <c r="K8" s="233"/>
      <c r="L8" s="228">
        <f t="shared" si="4"/>
        <v>22944.892873492045</v>
      </c>
      <c r="M8" s="228">
        <f t="shared" si="10"/>
        <v>5265.8529144664235</v>
      </c>
      <c r="N8" s="233">
        <f t="shared" si="5"/>
        <v>74100.531534942551</v>
      </c>
      <c r="P8" s="1">
        <v>4</v>
      </c>
      <c r="Q8" s="7">
        <f t="shared" si="11"/>
        <v>3.9109999999999992E-2</v>
      </c>
      <c r="S8" s="1">
        <v>4</v>
      </c>
      <c r="T8" s="7">
        <f t="shared" si="12"/>
        <v>1.6874999999999998E-2</v>
      </c>
    </row>
    <row r="9" spans="1:25" s="240" customFormat="1" x14ac:dyDescent="0.3">
      <c r="A9" s="235">
        <v>5</v>
      </c>
      <c r="B9" s="235">
        <f t="shared" si="6"/>
        <v>2019</v>
      </c>
      <c r="C9" s="236">
        <f t="shared" si="7"/>
        <v>44891.269655579606</v>
      </c>
      <c r="D9" s="237">
        <f t="shared" si="8"/>
        <v>1.6499999999999976E-2</v>
      </c>
      <c r="E9" s="236">
        <f t="shared" si="0"/>
        <v>46626.878368638456</v>
      </c>
      <c r="F9" s="237">
        <f t="shared" si="1"/>
        <v>3.8662500000000065E-2</v>
      </c>
      <c r="G9" s="237"/>
      <c r="H9" s="236">
        <f t="shared" si="2"/>
        <v>22445.634827789803</v>
      </c>
      <c r="I9" s="238">
        <f t="shared" si="9"/>
        <v>5151.2731929777592</v>
      </c>
      <c r="J9" s="239">
        <f t="shared" si="3"/>
        <v>72488.177676347172</v>
      </c>
      <c r="K9" s="239"/>
      <c r="L9" s="236">
        <f t="shared" si="4"/>
        <v>23313.439184319228</v>
      </c>
      <c r="M9" s="238">
        <f t="shared" si="10"/>
        <v>5350.4342928012629</v>
      </c>
      <c r="N9" s="239">
        <f t="shared" si="5"/>
        <v>75290.751845758947</v>
      </c>
      <c r="P9" s="240">
        <v>5</v>
      </c>
      <c r="Q9" s="241">
        <f t="shared" si="11"/>
        <v>3.8662499999999989E-2</v>
      </c>
      <c r="S9" s="240">
        <v>5</v>
      </c>
      <c r="T9" s="241">
        <f t="shared" si="12"/>
        <v>1.6499999999999997E-2</v>
      </c>
    </row>
    <row r="10" spans="1:25" x14ac:dyDescent="0.3">
      <c r="A10" s="1">
        <v>6</v>
      </c>
      <c r="B10" s="14">
        <f t="shared" si="6"/>
        <v>2018</v>
      </c>
      <c r="C10" s="228">
        <f t="shared" si="7"/>
        <v>45615.141378775828</v>
      </c>
      <c r="D10" s="6">
        <f t="shared" si="8"/>
        <v>1.6125000000000014E-2</v>
      </c>
      <c r="E10" s="228">
        <f t="shared" si="0"/>
        <v>47358.324006565745</v>
      </c>
      <c r="F10" s="6">
        <f t="shared" si="1"/>
        <v>3.8214999999999957E-2</v>
      </c>
      <c r="G10" s="6"/>
      <c r="H10" s="228">
        <f t="shared" si="2"/>
        <v>22807.570689387914</v>
      </c>
      <c r="I10" s="228">
        <f t="shared" si="9"/>
        <v>5234.3374732145267</v>
      </c>
      <c r="J10" s="233">
        <f t="shared" si="3"/>
        <v>73657.049541378277</v>
      </c>
      <c r="K10" s="233"/>
      <c r="L10" s="228">
        <f t="shared" si="4"/>
        <v>23679.162003282872</v>
      </c>
      <c r="M10" s="228">
        <f t="shared" si="10"/>
        <v>5434.3676797534199</v>
      </c>
      <c r="N10" s="233">
        <f t="shared" si="5"/>
        <v>76471.853689602038</v>
      </c>
      <c r="P10" s="1">
        <v>6</v>
      </c>
      <c r="Q10" s="7">
        <f t="shared" si="11"/>
        <v>3.8214999999999985E-2</v>
      </c>
      <c r="S10" s="1">
        <v>6</v>
      </c>
      <c r="T10" s="7">
        <f t="shared" si="12"/>
        <v>1.6124999999999997E-2</v>
      </c>
    </row>
    <row r="11" spans="1:25" x14ac:dyDescent="0.3">
      <c r="A11" s="1">
        <v>7</v>
      </c>
      <c r="B11" s="1">
        <f t="shared" si="6"/>
        <v>2017</v>
      </c>
      <c r="C11" s="228">
        <f t="shared" si="7"/>
        <v>46333.579855491545</v>
      </c>
      <c r="D11" s="6">
        <f t="shared" si="8"/>
        <v>1.5749999999999952E-2</v>
      </c>
      <c r="E11" s="228">
        <f t="shared" si="0"/>
        <v>48083.48333268382</v>
      </c>
      <c r="F11" s="6">
        <f t="shared" si="1"/>
        <v>3.776749999999994E-2</v>
      </c>
      <c r="G11" s="6"/>
      <c r="H11" s="228">
        <f t="shared" si="2"/>
        <v>23166.789927745773</v>
      </c>
      <c r="I11" s="228">
        <f t="shared" si="9"/>
        <v>5316.778288417654</v>
      </c>
      <c r="J11" s="233">
        <f t="shared" si="3"/>
        <v>74817.14807165497</v>
      </c>
      <c r="K11" s="233"/>
      <c r="L11" s="228">
        <f t="shared" si="4"/>
        <v>24041.74166634191</v>
      </c>
      <c r="M11" s="228">
        <f t="shared" si="10"/>
        <v>5517.5797124254677</v>
      </c>
      <c r="N11" s="233">
        <f t="shared" si="5"/>
        <v>77642.804711451201</v>
      </c>
      <c r="P11" s="1">
        <v>7</v>
      </c>
      <c r="Q11" s="7">
        <f t="shared" si="11"/>
        <v>3.7767499999999982E-2</v>
      </c>
      <c r="S11" s="1">
        <v>7</v>
      </c>
      <c r="T11" s="7">
        <f t="shared" si="12"/>
        <v>1.5749999999999997E-2</v>
      </c>
    </row>
    <row r="12" spans="1:25" x14ac:dyDescent="0.3">
      <c r="A12" s="1">
        <v>8</v>
      </c>
      <c r="B12" s="1">
        <f t="shared" si="6"/>
        <v>2016</v>
      </c>
      <c r="C12" s="228">
        <f t="shared" si="7"/>
        <v>47045.95864576973</v>
      </c>
      <c r="D12" s="6">
        <f t="shared" si="8"/>
        <v>1.5375000000000036E-2</v>
      </c>
      <c r="E12" s="228">
        <f t="shared" si="0"/>
        <v>48801.713822429854</v>
      </c>
      <c r="F12" s="6">
        <f t="shared" si="1"/>
        <v>3.7319999999999964E-2</v>
      </c>
      <c r="G12" s="6"/>
      <c r="H12" s="228">
        <f t="shared" si="2"/>
        <v>23522.979322884865</v>
      </c>
      <c r="I12" s="228">
        <f t="shared" si="9"/>
        <v>5398.5237546020762</v>
      </c>
      <c r="J12" s="233">
        <f t="shared" si="3"/>
        <v>75967.461723256667</v>
      </c>
      <c r="K12" s="233"/>
      <c r="L12" s="228">
        <f t="shared" si="4"/>
        <v>24400.856911214927</v>
      </c>
      <c r="M12" s="228">
        <f t="shared" si="10"/>
        <v>5599.996661123826</v>
      </c>
      <c r="N12" s="233">
        <f t="shared" si="5"/>
        <v>78802.567394768601</v>
      </c>
      <c r="P12" s="1">
        <v>8</v>
      </c>
      <c r="Q12" s="7">
        <f t="shared" si="11"/>
        <v>3.7319999999999978E-2</v>
      </c>
      <c r="S12" s="1">
        <v>8</v>
      </c>
      <c r="T12" s="7">
        <f t="shared" si="12"/>
        <v>1.5374999999999996E-2</v>
      </c>
    </row>
    <row r="13" spans="1:25" x14ac:dyDescent="0.3">
      <c r="A13" s="1">
        <v>9</v>
      </c>
      <c r="B13" s="1">
        <f t="shared" si="6"/>
        <v>2015</v>
      </c>
      <c r="C13" s="228">
        <f t="shared" si="7"/>
        <v>47751.648025456278</v>
      </c>
      <c r="D13" s="6">
        <f t="shared" si="8"/>
        <v>1.5000000000000041E-2</v>
      </c>
      <c r="E13" s="228">
        <f t="shared" si="0"/>
        <v>49512.37066727491</v>
      </c>
      <c r="F13" s="6">
        <f t="shared" si="1"/>
        <v>3.6872499999999919E-2</v>
      </c>
      <c r="G13" s="6"/>
      <c r="H13" s="228">
        <f t="shared" si="2"/>
        <v>23875.824012728139</v>
      </c>
      <c r="I13" s="228">
        <f t="shared" si="9"/>
        <v>5479.5016109211074</v>
      </c>
      <c r="J13" s="233">
        <f t="shared" si="3"/>
        <v>77106.973649105523</v>
      </c>
      <c r="K13" s="233"/>
      <c r="L13" s="228">
        <f t="shared" si="4"/>
        <v>24756.185333637455</v>
      </c>
      <c r="M13" s="228">
        <f t="shared" si="10"/>
        <v>5681.5445340697952</v>
      </c>
      <c r="N13" s="233">
        <f t="shared" si="5"/>
        <v>79950.10053498215</v>
      </c>
      <c r="P13" s="1">
        <v>9</v>
      </c>
      <c r="Q13" s="7">
        <f t="shared" si="11"/>
        <v>3.6872499999999975E-2</v>
      </c>
      <c r="S13" s="1">
        <v>9</v>
      </c>
      <c r="T13" s="7">
        <f t="shared" si="12"/>
        <v>1.4999999999999996E-2</v>
      </c>
    </row>
    <row r="14" spans="1:25" s="235" customFormat="1" x14ac:dyDescent="0.3">
      <c r="A14" s="235">
        <v>10</v>
      </c>
      <c r="B14" s="235">
        <f t="shared" si="6"/>
        <v>2014</v>
      </c>
      <c r="C14" s="236">
        <f t="shared" si="7"/>
        <v>48450.015877828577</v>
      </c>
      <c r="D14" s="237">
        <f t="shared" si="8"/>
        <v>1.4625000000000025E-2</v>
      </c>
      <c r="E14" s="236">
        <f t="shared" si="0"/>
        <v>50214.807706178479</v>
      </c>
      <c r="F14" s="237">
        <f t="shared" si="1"/>
        <v>3.6424999999999923E-2</v>
      </c>
      <c r="G14" s="237"/>
      <c r="H14" s="236">
        <f t="shared" si="2"/>
        <v>24225.007938914288</v>
      </c>
      <c r="I14" s="236">
        <f t="shared" si="9"/>
        <v>5559.6393219808288</v>
      </c>
      <c r="J14" s="239">
        <f t="shared" si="3"/>
        <v>78234.663138723685</v>
      </c>
      <c r="K14" s="239"/>
      <c r="L14" s="236">
        <f t="shared" si="4"/>
        <v>25107.403853089239</v>
      </c>
      <c r="M14" s="236">
        <f t="shared" si="10"/>
        <v>5762.1491842839805</v>
      </c>
      <c r="N14" s="239">
        <f t="shared" si="5"/>
        <v>81084.36074355169</v>
      </c>
      <c r="P14" s="235">
        <v>10</v>
      </c>
      <c r="Q14" s="242">
        <f t="shared" si="11"/>
        <v>3.6424999999999971E-2</v>
      </c>
      <c r="S14" s="235">
        <v>10</v>
      </c>
      <c r="T14" s="242">
        <f t="shared" si="12"/>
        <v>1.4624999999999996E-2</v>
      </c>
    </row>
    <row r="15" spans="1:25" x14ac:dyDescent="0.3">
      <c r="A15" s="1">
        <v>11</v>
      </c>
      <c r="B15" s="14">
        <f t="shared" si="6"/>
        <v>2013</v>
      </c>
      <c r="C15" s="228">
        <f t="shared" si="7"/>
        <v>49140.428604087632</v>
      </c>
      <c r="D15" s="6">
        <f t="shared" si="8"/>
        <v>1.4249999999999964E-2</v>
      </c>
      <c r="E15" s="228">
        <f t="shared" si="0"/>
        <v>50908.37837419119</v>
      </c>
      <c r="F15" s="6">
        <f t="shared" si="1"/>
        <v>3.5977499999999898E-2</v>
      </c>
      <c r="G15" s="6"/>
      <c r="H15" s="228">
        <f t="shared" si="2"/>
        <v>24570.214302043816</v>
      </c>
      <c r="I15" s="228">
        <f t="shared" si="9"/>
        <v>5638.8641823190565</v>
      </c>
      <c r="J15" s="233">
        <f t="shared" si="3"/>
        <v>79349.507088450511</v>
      </c>
      <c r="K15" s="233"/>
      <c r="L15" s="228">
        <f t="shared" si="4"/>
        <v>25454.189187095595</v>
      </c>
      <c r="M15" s="228">
        <f t="shared" si="10"/>
        <v>5841.7364184384396</v>
      </c>
      <c r="N15" s="233">
        <f t="shared" si="5"/>
        <v>82204.303979725228</v>
      </c>
      <c r="P15" s="1">
        <v>11</v>
      </c>
      <c r="Q15" s="7">
        <f t="shared" si="11"/>
        <v>3.5977499999999968E-2</v>
      </c>
      <c r="S15" s="1">
        <v>11</v>
      </c>
      <c r="T15" s="7">
        <f t="shared" si="12"/>
        <v>1.4249999999999995E-2</v>
      </c>
    </row>
    <row r="16" spans="1:25" x14ac:dyDescent="0.3">
      <c r="A16" s="1">
        <v>12</v>
      </c>
      <c r="B16" s="1">
        <f t="shared" si="6"/>
        <v>2012</v>
      </c>
      <c r="C16" s="228">
        <f t="shared" si="7"/>
        <v>49822.25205096935</v>
      </c>
      <c r="D16" s="6">
        <f t="shared" si="8"/>
        <v>1.3875000000000028E-2</v>
      </c>
      <c r="E16" s="228">
        <f t="shared" si="0"/>
        <v>51592.436666340291</v>
      </c>
      <c r="F16" s="6">
        <f t="shared" si="1"/>
        <v>3.5530000000000006E-2</v>
      </c>
      <c r="G16" s="6"/>
      <c r="H16" s="228">
        <f t="shared" si="2"/>
        <v>24911.126025484675</v>
      </c>
      <c r="I16" s="228">
        <f t="shared" si="9"/>
        <v>5717.1034228487333</v>
      </c>
      <c r="J16" s="233">
        <f t="shared" si="3"/>
        <v>80450.481499302754</v>
      </c>
      <c r="K16" s="233"/>
      <c r="L16" s="228">
        <f t="shared" si="4"/>
        <v>25796.218333170145</v>
      </c>
      <c r="M16" s="228">
        <f t="shared" si="10"/>
        <v>5920.2321074625488</v>
      </c>
      <c r="N16" s="233">
        <f t="shared" si="5"/>
        <v>83308.887106972994</v>
      </c>
      <c r="P16" s="1">
        <v>12</v>
      </c>
      <c r="Q16" s="7">
        <f t="shared" si="11"/>
        <v>3.5529999999999964E-2</v>
      </c>
      <c r="S16" s="1">
        <v>12</v>
      </c>
      <c r="T16" s="7">
        <f t="shared" si="12"/>
        <v>1.3874999999999995E-2</v>
      </c>
    </row>
    <row r="17" spans="1:20" x14ac:dyDescent="0.3">
      <c r="A17" s="1">
        <v>13</v>
      </c>
      <c r="B17" s="1">
        <f t="shared" si="6"/>
        <v>2011</v>
      </c>
      <c r="C17" s="228">
        <f t="shared" si="7"/>
        <v>50494.852453657433</v>
      </c>
      <c r="D17" s="6">
        <f t="shared" si="8"/>
        <v>1.349999999999995E-2</v>
      </c>
      <c r="E17" s="228">
        <f t="shared" si="0"/>
        <v>52266.338114862869</v>
      </c>
      <c r="F17" s="6">
        <f t="shared" si="1"/>
        <v>3.5082499999999975E-2</v>
      </c>
      <c r="G17" s="6"/>
      <c r="H17" s="228">
        <f t="shared" si="2"/>
        <v>25247.426226828717</v>
      </c>
      <c r="I17" s="228">
        <f t="shared" si="9"/>
        <v>5794.2843190571903</v>
      </c>
      <c r="J17" s="233">
        <f t="shared" si="3"/>
        <v>81536.562999543341</v>
      </c>
      <c r="K17" s="233"/>
      <c r="L17" s="228">
        <f t="shared" si="4"/>
        <v>26133.169057431434</v>
      </c>
      <c r="M17" s="228">
        <f t="shared" si="10"/>
        <v>5997.5622986805147</v>
      </c>
      <c r="N17" s="233">
        <f t="shared" si="5"/>
        <v>84397.06947097482</v>
      </c>
      <c r="P17" s="1">
        <v>13</v>
      </c>
      <c r="Q17" s="7">
        <f t="shared" si="11"/>
        <v>3.5082499999999961E-2</v>
      </c>
      <c r="S17" s="1">
        <v>13</v>
      </c>
      <c r="T17" s="7">
        <f t="shared" si="12"/>
        <v>1.3499999999999995E-2</v>
      </c>
    </row>
    <row r="18" spans="1:20" x14ac:dyDescent="0.3">
      <c r="A18" s="1">
        <v>14</v>
      </c>
      <c r="B18" s="1">
        <f t="shared" si="6"/>
        <v>2010</v>
      </c>
      <c r="C18" s="228">
        <f t="shared" si="7"/>
        <v>51157.597392111689</v>
      </c>
      <c r="D18" s="6">
        <f t="shared" si="8"/>
        <v>1.3125000000000045E-2</v>
      </c>
      <c r="E18" s="228">
        <f t="shared" si="0"/>
        <v>52929.440777787473</v>
      </c>
      <c r="F18" s="6">
        <f t="shared" si="1"/>
        <v>3.4634999999999909E-2</v>
      </c>
      <c r="G18" s="6"/>
      <c r="H18" s="228">
        <f t="shared" si="2"/>
        <v>25578.798696055845</v>
      </c>
      <c r="I18" s="228">
        <f t="shared" si="9"/>
        <v>5870.3343007448157</v>
      </c>
      <c r="J18" s="233">
        <f t="shared" si="3"/>
        <v>82606.730388912343</v>
      </c>
      <c r="K18" s="233"/>
      <c r="L18" s="228">
        <f t="shared" si="4"/>
        <v>26464.720388893737</v>
      </c>
      <c r="M18" s="228">
        <f t="shared" si="10"/>
        <v>6073.6533292511122</v>
      </c>
      <c r="N18" s="233">
        <f t="shared" si="5"/>
        <v>85467.814495932325</v>
      </c>
      <c r="P18" s="1">
        <v>14</v>
      </c>
      <c r="Q18" s="7">
        <f t="shared" si="11"/>
        <v>3.4634999999999957E-2</v>
      </c>
      <c r="S18" s="1">
        <v>14</v>
      </c>
      <c r="T18" s="7">
        <f t="shared" si="12"/>
        <v>1.3124999999999994E-2</v>
      </c>
    </row>
    <row r="19" spans="1:20" s="235" customFormat="1" x14ac:dyDescent="0.3">
      <c r="A19" s="235">
        <v>15</v>
      </c>
      <c r="B19" s="235">
        <f t="shared" si="6"/>
        <v>2009</v>
      </c>
      <c r="C19" s="236">
        <f t="shared" si="7"/>
        <v>51809.856758861111</v>
      </c>
      <c r="D19" s="237">
        <f t="shared" si="8"/>
        <v>1.2749999999999961E-2</v>
      </c>
      <c r="E19" s="236">
        <f t="shared" si="0"/>
        <v>53581.10623680467</v>
      </c>
      <c r="F19" s="237">
        <f t="shared" si="1"/>
        <v>3.4187499999999885E-2</v>
      </c>
      <c r="G19" s="237"/>
      <c r="H19" s="236">
        <f t="shared" si="2"/>
        <v>25904.928379430556</v>
      </c>
      <c r="I19" s="236">
        <f t="shared" si="9"/>
        <v>5945.1810630793125</v>
      </c>
      <c r="J19" s="239">
        <f t="shared" si="3"/>
        <v>83659.966201370989</v>
      </c>
      <c r="K19" s="239"/>
      <c r="L19" s="236">
        <f t="shared" si="4"/>
        <v>26790.553118402335</v>
      </c>
      <c r="M19" s="236">
        <f t="shared" si="10"/>
        <v>6148.4319406733348</v>
      </c>
      <c r="N19" s="239">
        <f t="shared" si="5"/>
        <v>86520.091295880338</v>
      </c>
      <c r="P19" s="235">
        <v>15</v>
      </c>
      <c r="Q19" s="242">
        <f t="shared" si="11"/>
        <v>3.4187499999999954E-2</v>
      </c>
      <c r="S19" s="235">
        <v>15</v>
      </c>
      <c r="T19" s="242">
        <f t="shared" si="12"/>
        <v>1.2749999999999994E-2</v>
      </c>
    </row>
    <row r="20" spans="1:20" x14ac:dyDescent="0.3">
      <c r="A20" s="1">
        <v>16</v>
      </c>
      <c r="B20" s="14">
        <f t="shared" si="6"/>
        <v>2008</v>
      </c>
      <c r="C20" s="228">
        <f t="shared" si="7"/>
        <v>52451.003736252016</v>
      </c>
      <c r="D20" s="6">
        <f t="shared" si="8"/>
        <v>1.2374999999999971E-2</v>
      </c>
      <c r="E20" s="228">
        <f t="shared" si="0"/>
        <v>54220.700602313154</v>
      </c>
      <c r="F20" s="6">
        <f t="shared" si="1"/>
        <v>3.3739999999999909E-2</v>
      </c>
      <c r="G20" s="6"/>
      <c r="H20" s="228">
        <f t="shared" si="2"/>
        <v>26225.501868126008</v>
      </c>
      <c r="I20" s="228">
        <f t="shared" si="9"/>
        <v>6018.7526787349188</v>
      </c>
      <c r="J20" s="233">
        <f t="shared" si="3"/>
        <v>84695.25828311294</v>
      </c>
      <c r="K20" s="233"/>
      <c r="L20" s="228">
        <f t="shared" si="4"/>
        <v>27110.350301156577</v>
      </c>
      <c r="M20" s="228">
        <f t="shared" si="10"/>
        <v>6221.8253941154344</v>
      </c>
      <c r="N20" s="233">
        <f t="shared" si="5"/>
        <v>87552.876297585171</v>
      </c>
      <c r="P20" s="1">
        <v>16</v>
      </c>
      <c r="Q20" s="7">
        <f t="shared" si="11"/>
        <v>3.3739999999999951E-2</v>
      </c>
      <c r="S20" s="1">
        <v>16</v>
      </c>
      <c r="T20" s="7">
        <f t="shared" si="12"/>
        <v>1.2374999999999994E-2</v>
      </c>
    </row>
    <row r="21" spans="1:20" x14ac:dyDescent="0.3">
      <c r="A21" s="1">
        <v>17</v>
      </c>
      <c r="B21" s="1">
        <f t="shared" si="6"/>
        <v>2007</v>
      </c>
      <c r="C21" s="228">
        <f t="shared" si="7"/>
        <v>53080.415781087038</v>
      </c>
      <c r="D21" s="6">
        <f t="shared" si="8"/>
        <v>1.1999999999999962E-2</v>
      </c>
      <c r="E21" s="228">
        <f t="shared" si="0"/>
        <v>54847.595523478878</v>
      </c>
      <c r="F21" s="6">
        <f t="shared" si="1"/>
        <v>3.3292499999999989E-2</v>
      </c>
      <c r="G21" s="6"/>
      <c r="H21" s="228">
        <f t="shared" si="2"/>
        <v>26540.207890543519</v>
      </c>
      <c r="I21" s="228">
        <f t="shared" si="9"/>
        <v>6090.977710879738</v>
      </c>
      <c r="J21" s="233">
        <f t="shared" si="3"/>
        <v>85711.6013825103</v>
      </c>
      <c r="K21" s="233"/>
      <c r="L21" s="228">
        <f t="shared" si="4"/>
        <v>27423.797761739439</v>
      </c>
      <c r="M21" s="228">
        <f t="shared" si="10"/>
        <v>6293.7615863192013</v>
      </c>
      <c r="N21" s="233">
        <f t="shared" si="5"/>
        <v>88565.154871537525</v>
      </c>
      <c r="P21" s="1">
        <v>17</v>
      </c>
      <c r="Q21" s="7">
        <f t="shared" si="11"/>
        <v>3.3292499999999947E-2</v>
      </c>
      <c r="S21" s="1">
        <v>17</v>
      </c>
      <c r="T21" s="7">
        <f t="shared" si="12"/>
        <v>1.1999999999999993E-2</v>
      </c>
    </row>
    <row r="22" spans="1:20" x14ac:dyDescent="0.3">
      <c r="A22" s="1">
        <v>18</v>
      </c>
      <c r="B22" s="1">
        <f t="shared" si="6"/>
        <v>2006</v>
      </c>
      <c r="C22" s="228">
        <f t="shared" si="7"/>
        <v>53697.475614542178</v>
      </c>
      <c r="D22" s="6">
        <f t="shared" si="8"/>
        <v>1.1625000000000052E-2</v>
      </c>
      <c r="E22" s="228">
        <f t="shared" si="0"/>
        <v>55461.169201101809</v>
      </c>
      <c r="F22" s="6">
        <f t="shared" si="1"/>
        <v>3.2844999999999881E-2</v>
      </c>
      <c r="G22" s="6"/>
      <c r="H22" s="228">
        <f t="shared" si="2"/>
        <v>26848.737807271089</v>
      </c>
      <c r="I22" s="228">
        <f t="shared" si="9"/>
        <v>6161.7853267687151</v>
      </c>
      <c r="J22" s="233">
        <f t="shared" si="3"/>
        <v>86707.998748581987</v>
      </c>
      <c r="K22" s="233"/>
      <c r="L22" s="228">
        <f t="shared" si="4"/>
        <v>27730.584600550905</v>
      </c>
      <c r="M22" s="228">
        <f t="shared" si="10"/>
        <v>6364.1691658264326</v>
      </c>
      <c r="N22" s="233">
        <f t="shared" si="5"/>
        <v>89555.922967479142</v>
      </c>
      <c r="P22" s="1">
        <v>18</v>
      </c>
      <c r="Q22" s="7">
        <f t="shared" si="11"/>
        <v>3.2844999999999944E-2</v>
      </c>
      <c r="S22" s="1">
        <v>18</v>
      </c>
      <c r="T22" s="7">
        <f t="shared" si="12"/>
        <v>1.1624999999999993E-2</v>
      </c>
    </row>
    <row r="23" spans="1:20" x14ac:dyDescent="0.3">
      <c r="A23" s="1">
        <v>19</v>
      </c>
      <c r="B23" s="1">
        <f t="shared" si="6"/>
        <v>2005</v>
      </c>
      <c r="C23" s="228">
        <f t="shared" si="7"/>
        <v>54301.572215205779</v>
      </c>
      <c r="D23" s="6">
        <f t="shared" si="8"/>
        <v>1.1250000000000026E-2</v>
      </c>
      <c r="E23" s="228">
        <f t="shared" si="0"/>
        <v>56060.807401047903</v>
      </c>
      <c r="F23" s="6">
        <f t="shared" si="1"/>
        <v>3.2397499999999912E-2</v>
      </c>
      <c r="G23" s="6"/>
      <c r="H23" s="228">
        <f t="shared" si="2"/>
        <v>27150.786107602889</v>
      </c>
      <c r="I23" s="228">
        <f t="shared" si="9"/>
        <v>6231.1054116948626</v>
      </c>
      <c r="J23" s="233">
        <f t="shared" si="3"/>
        <v>87683.46373450353</v>
      </c>
      <c r="K23" s="233"/>
      <c r="L23" s="228">
        <f t="shared" si="4"/>
        <v>28030.403700523952</v>
      </c>
      <c r="M23" s="228">
        <f t="shared" si="10"/>
        <v>6432.9776492702467</v>
      </c>
      <c r="N23" s="233">
        <f t="shared" si="5"/>
        <v>90524.188750842106</v>
      </c>
      <c r="P23" s="1">
        <v>19</v>
      </c>
      <c r="Q23" s="7">
        <f t="shared" si="11"/>
        <v>3.239749999999994E-2</v>
      </c>
      <c r="S23" s="1">
        <v>19</v>
      </c>
      <c r="T23" s="7">
        <f t="shared" si="12"/>
        <v>1.1249999999999993E-2</v>
      </c>
    </row>
    <row r="24" spans="1:20" s="235" customFormat="1" x14ac:dyDescent="0.3">
      <c r="A24" s="235">
        <v>20</v>
      </c>
      <c r="B24" s="235">
        <f t="shared" si="6"/>
        <v>2004</v>
      </c>
      <c r="C24" s="236">
        <f t="shared" si="7"/>
        <v>54892.101813046138</v>
      </c>
      <c r="D24" s="237">
        <f t="shared" si="8"/>
        <v>1.0874999999999933E-2</v>
      </c>
      <c r="E24" s="236">
        <f t="shared" si="0"/>
        <v>56645.904465972955</v>
      </c>
      <c r="F24" s="237">
        <f t="shared" si="1"/>
        <v>3.1949999999999874E-2</v>
      </c>
      <c r="G24" s="237"/>
      <c r="H24" s="236">
        <f t="shared" si="2"/>
        <v>27446.050906523069</v>
      </c>
      <c r="I24" s="236">
        <f t="shared" si="9"/>
        <v>6298.8686830470442</v>
      </c>
      <c r="J24" s="239">
        <f t="shared" si="3"/>
        <v>88637.021402616243</v>
      </c>
      <c r="K24" s="239"/>
      <c r="L24" s="236">
        <f t="shared" si="4"/>
        <v>28322.952232986478</v>
      </c>
      <c r="M24" s="236">
        <f t="shared" si="10"/>
        <v>6500.1175374703962</v>
      </c>
      <c r="N24" s="239">
        <f t="shared" si="5"/>
        <v>91468.974236429814</v>
      </c>
      <c r="P24" s="235">
        <v>20</v>
      </c>
      <c r="Q24" s="242">
        <f t="shared" si="11"/>
        <v>3.1949999999999937E-2</v>
      </c>
      <c r="S24" s="235">
        <v>20</v>
      </c>
      <c r="T24" s="242">
        <f t="shared" si="12"/>
        <v>1.0874999999999992E-2</v>
      </c>
    </row>
    <row r="25" spans="1:20" x14ac:dyDescent="0.3">
      <c r="A25" s="1">
        <v>21</v>
      </c>
      <c r="B25" s="14">
        <f t="shared" si="6"/>
        <v>2003</v>
      </c>
      <c r="C25" s="228">
        <f t="shared" si="7"/>
        <v>55468.468882083122</v>
      </c>
      <c r="D25" s="6">
        <f t="shared" si="8"/>
        <v>1.0499999999999985E-2</v>
      </c>
      <c r="E25" s="228">
        <f t="shared" si="0"/>
        <v>57215.864323040943</v>
      </c>
      <c r="F25" s="6">
        <f t="shared" si="1"/>
        <v>3.1502499999999968E-2</v>
      </c>
      <c r="G25" s="6"/>
      <c r="H25" s="228">
        <f t="shared" si="2"/>
        <v>27734.234441041561</v>
      </c>
      <c r="I25" s="228">
        <f t="shared" si="9"/>
        <v>6365.0068042190378</v>
      </c>
      <c r="J25" s="233">
        <f t="shared" si="3"/>
        <v>89567.710127343715</v>
      </c>
      <c r="K25" s="233"/>
      <c r="L25" s="228">
        <f t="shared" si="4"/>
        <v>28607.932161520472</v>
      </c>
      <c r="M25" s="228">
        <f t="shared" si="10"/>
        <v>6565.5204310689487</v>
      </c>
      <c r="N25" s="233">
        <f t="shared" si="5"/>
        <v>92389.316915630363</v>
      </c>
      <c r="P25" s="1">
        <v>21</v>
      </c>
      <c r="Q25" s="7">
        <f t="shared" si="11"/>
        <v>3.1502499999999933E-2</v>
      </c>
      <c r="S25" s="1">
        <v>21</v>
      </c>
      <c r="T25" s="7">
        <f t="shared" si="12"/>
        <v>1.0499999999999992E-2</v>
      </c>
    </row>
    <row r="26" spans="1:20" x14ac:dyDescent="0.3">
      <c r="A26" s="1">
        <v>22</v>
      </c>
      <c r="B26" s="1">
        <f t="shared" si="6"/>
        <v>2002</v>
      </c>
      <c r="C26" s="228">
        <f t="shared" si="7"/>
        <v>56030.087129514213</v>
      </c>
      <c r="D26" s="6">
        <f t="shared" si="8"/>
        <v>1.0125000000000002E-2</v>
      </c>
      <c r="E26" s="228">
        <f t="shared" si="0"/>
        <v>57770.101485321276</v>
      </c>
      <c r="F26" s="6">
        <f t="shared" si="1"/>
        <v>3.1054999999999985E-2</v>
      </c>
      <c r="G26" s="6"/>
      <c r="H26" s="228">
        <f t="shared" si="2"/>
        <v>28015.043564757107</v>
      </c>
      <c r="I26" s="228">
        <f t="shared" si="9"/>
        <v>6429.4524981117565</v>
      </c>
      <c r="J26" s="233">
        <f t="shared" si="3"/>
        <v>90474.583192383085</v>
      </c>
      <c r="K26" s="233"/>
      <c r="L26" s="228">
        <f t="shared" si="4"/>
        <v>28885.050742660638</v>
      </c>
      <c r="M26" s="228">
        <f t="shared" si="10"/>
        <v>6629.1191454406162</v>
      </c>
      <c r="N26" s="233">
        <f t="shared" si="5"/>
        <v>93284.27137342254</v>
      </c>
      <c r="P26" s="1">
        <v>22</v>
      </c>
      <c r="Q26" s="7">
        <f t="shared" si="11"/>
        <v>3.1054999999999933E-2</v>
      </c>
      <c r="S26" s="1">
        <v>22</v>
      </c>
      <c r="T26" s="7">
        <f t="shared" si="12"/>
        <v>1.0124999999999992E-2</v>
      </c>
    </row>
    <row r="27" spans="1:20" x14ac:dyDescent="0.3">
      <c r="A27" s="1">
        <v>23</v>
      </c>
      <c r="B27" s="1">
        <f t="shared" si="6"/>
        <v>2001</v>
      </c>
      <c r="C27" s="228">
        <f t="shared" si="7"/>
        <v>56576.380479026979</v>
      </c>
      <c r="D27" s="6">
        <f t="shared" si="8"/>
        <v>9.7500000000000329E-3</v>
      </c>
      <c r="E27" s="228">
        <f t="shared" si="0"/>
        <v>58308.042044538794</v>
      </c>
      <c r="F27" s="6">
        <f t="shared" si="1"/>
        <v>3.060749999999994E-2</v>
      </c>
      <c r="G27" s="6"/>
      <c r="H27" s="228">
        <f t="shared" si="2"/>
        <v>28288.190239513489</v>
      </c>
      <c r="I27" s="228">
        <f t="shared" si="9"/>
        <v>6492.1396599683449</v>
      </c>
      <c r="J27" s="233">
        <f t="shared" si="3"/>
        <v>91356.710378508811</v>
      </c>
      <c r="K27" s="233"/>
      <c r="L27" s="228">
        <f t="shared" si="4"/>
        <v>29154.021022269397</v>
      </c>
      <c r="M27" s="228">
        <f t="shared" si="10"/>
        <v>6690.8478246108261</v>
      </c>
      <c r="N27" s="233">
        <f t="shared" si="5"/>
        <v>94152.910891419015</v>
      </c>
      <c r="P27" s="1">
        <v>23</v>
      </c>
      <c r="Q27" s="7">
        <f t="shared" si="11"/>
        <v>3.0607499999999933E-2</v>
      </c>
      <c r="S27" s="1">
        <v>23</v>
      </c>
      <c r="T27" s="7">
        <f t="shared" si="12"/>
        <v>9.7499999999999913E-3</v>
      </c>
    </row>
    <row r="28" spans="1:20" x14ac:dyDescent="0.3">
      <c r="A28" s="1">
        <v>24</v>
      </c>
      <c r="B28" s="1">
        <f t="shared" si="6"/>
        <v>2000</v>
      </c>
      <c r="C28" s="228">
        <f t="shared" si="7"/>
        <v>57106.784046017856</v>
      </c>
      <c r="D28" s="6">
        <f t="shared" si="8"/>
        <v>9.3749999999999858E-3</v>
      </c>
      <c r="E28" s="228">
        <f t="shared" si="0"/>
        <v>58829.124652845749</v>
      </c>
      <c r="F28" s="6">
        <f t="shared" si="1"/>
        <v>3.0159999999999899E-2</v>
      </c>
      <c r="G28" s="6"/>
      <c r="H28" s="228">
        <f t="shared" si="2"/>
        <v>28553.392023008928</v>
      </c>
      <c r="I28" s="228">
        <f t="shared" si="9"/>
        <v>6553.0034692805484</v>
      </c>
      <c r="J28" s="233">
        <f t="shared" si="3"/>
        <v>92213.179538307333</v>
      </c>
      <c r="K28" s="233"/>
      <c r="L28" s="228">
        <f t="shared" si="4"/>
        <v>29414.562326422874</v>
      </c>
      <c r="M28" s="228">
        <f t="shared" si="10"/>
        <v>6750.642053914049</v>
      </c>
      <c r="N28" s="233">
        <f t="shared" si="5"/>
        <v>94994.329033182672</v>
      </c>
      <c r="P28" s="1">
        <v>24</v>
      </c>
      <c r="Q28" s="7">
        <f t="shared" si="11"/>
        <v>3.0159999999999933E-2</v>
      </c>
      <c r="S28" s="1">
        <v>24</v>
      </c>
      <c r="T28" s="7">
        <f t="shared" si="12"/>
        <v>9.374999999999991E-3</v>
      </c>
    </row>
    <row r="29" spans="1:20" s="235" customFormat="1" x14ac:dyDescent="0.3">
      <c r="A29" s="235">
        <v>25</v>
      </c>
      <c r="B29" s="235">
        <f t="shared" si="6"/>
        <v>1999</v>
      </c>
      <c r="C29" s="236">
        <f t="shared" si="7"/>
        <v>57620.745102432018</v>
      </c>
      <c r="D29" s="237">
        <f t="shared" si="8"/>
        <v>9.0000000000000253E-3</v>
      </c>
      <c r="E29" s="236">
        <f t="shared" si="0"/>
        <v>59332.801491288024</v>
      </c>
      <c r="F29" s="237">
        <f t="shared" si="1"/>
        <v>2.9712499999999913E-2</v>
      </c>
      <c r="G29" s="237"/>
      <c r="H29" s="236">
        <f t="shared" si="2"/>
        <v>28810.372551216009</v>
      </c>
      <c r="I29" s="236">
        <f t="shared" si="9"/>
        <v>6611.9805005040735</v>
      </c>
      <c r="J29" s="239">
        <f t="shared" si="3"/>
        <v>93043.098154152089</v>
      </c>
      <c r="K29" s="239"/>
      <c r="L29" s="236">
        <f t="shared" si="4"/>
        <v>29666.400745644012</v>
      </c>
      <c r="M29" s="236">
        <f t="shared" si="10"/>
        <v>6808.4389711253007</v>
      </c>
      <c r="N29" s="239">
        <f t="shared" si="5"/>
        <v>95807.641208057335</v>
      </c>
      <c r="P29" s="235">
        <v>25</v>
      </c>
      <c r="Q29" s="242">
        <f t="shared" si="11"/>
        <v>2.9712499999999933E-2</v>
      </c>
      <c r="S29" s="235">
        <v>25</v>
      </c>
      <c r="T29" s="242">
        <f t="shared" si="12"/>
        <v>8.9999999999999906E-3</v>
      </c>
    </row>
    <row r="30" spans="1:20" x14ac:dyDescent="0.3">
      <c r="A30" s="1">
        <v>26</v>
      </c>
      <c r="B30" s="14">
        <f t="shared" si="6"/>
        <v>1998</v>
      </c>
      <c r="C30" s="228">
        <f t="shared" si="7"/>
        <v>58117.724028940494</v>
      </c>
      <c r="D30" s="6">
        <f t="shared" si="8"/>
        <v>8.6250000000000042E-3</v>
      </c>
      <c r="E30" s="228">
        <f t="shared" si="0"/>
        <v>59818.539222647436</v>
      </c>
      <c r="F30" s="6">
        <f t="shared" si="1"/>
        <v>2.9264999999999965E-2</v>
      </c>
      <c r="G30" s="6"/>
      <c r="H30" s="228">
        <f t="shared" si="2"/>
        <v>29058.862014470247</v>
      </c>
      <c r="I30" s="228">
        <f t="shared" si="9"/>
        <v>6669.008832320922</v>
      </c>
      <c r="J30" s="233">
        <f t="shared" si="3"/>
        <v>93845.594875731666</v>
      </c>
      <c r="K30" s="233"/>
      <c r="L30" s="228">
        <f t="shared" si="4"/>
        <v>29909.269611323718</v>
      </c>
      <c r="M30" s="228">
        <f t="shared" si="10"/>
        <v>6864.177375798793</v>
      </c>
      <c r="N30" s="233">
        <f t="shared" si="5"/>
        <v>96591.986209769952</v>
      </c>
      <c r="P30" s="1">
        <v>26</v>
      </c>
      <c r="Q30" s="7">
        <f t="shared" si="11"/>
        <v>2.9264999999999933E-2</v>
      </c>
      <c r="S30" s="1">
        <v>26</v>
      </c>
      <c r="T30" s="7">
        <f t="shared" si="12"/>
        <v>8.6249999999999903E-3</v>
      </c>
    </row>
    <row r="31" spans="1:20" x14ac:dyDescent="0.3">
      <c r="A31" s="1">
        <v>27</v>
      </c>
      <c r="B31" s="1">
        <f t="shared" si="6"/>
        <v>1997</v>
      </c>
      <c r="C31" s="228">
        <f t="shared" si="7"/>
        <v>58597.195252179255</v>
      </c>
      <c r="D31" s="6">
        <f t="shared" si="8"/>
        <v>8.2500000000000333E-3</v>
      </c>
      <c r="E31" s="228">
        <f t="shared" si="0"/>
        <v>60285.819926358927</v>
      </c>
      <c r="F31" s="6">
        <f t="shared" si="1"/>
        <v>2.8817499999999923E-2</v>
      </c>
      <c r="G31" s="6"/>
      <c r="H31" s="228">
        <f t="shared" si="2"/>
        <v>29298.597626089628</v>
      </c>
      <c r="I31" s="228">
        <f t="shared" si="9"/>
        <v>6724.0281551875696</v>
      </c>
      <c r="J31" s="233">
        <f t="shared" si="3"/>
        <v>94619.82103345645</v>
      </c>
      <c r="K31" s="233"/>
      <c r="L31" s="228">
        <f t="shared" si="4"/>
        <v>30142.909963179463</v>
      </c>
      <c r="M31" s="228">
        <f t="shared" si="10"/>
        <v>6917.7978365496865</v>
      </c>
      <c r="N31" s="233">
        <f t="shared" si="5"/>
        <v>97346.527726088068</v>
      </c>
      <c r="P31" s="1">
        <v>27</v>
      </c>
      <c r="Q31" s="7">
        <f t="shared" si="11"/>
        <v>2.8817499999999933E-2</v>
      </c>
      <c r="S31" s="1">
        <v>27</v>
      </c>
      <c r="T31" s="7">
        <f t="shared" si="12"/>
        <v>8.24999999999999E-3</v>
      </c>
    </row>
    <row r="32" spans="1:20" x14ac:dyDescent="0.3">
      <c r="A32" s="1">
        <v>28</v>
      </c>
      <c r="B32" s="1">
        <f t="shared" si="6"/>
        <v>1996</v>
      </c>
      <c r="C32" s="228">
        <f t="shared" si="7"/>
        <v>59058.648164790167</v>
      </c>
      <c r="D32" s="6">
        <f t="shared" si="8"/>
        <v>7.8750000000000035E-3</v>
      </c>
      <c r="E32" s="228">
        <f t="shared" si="0"/>
        <v>60734.142013225261</v>
      </c>
      <c r="F32" s="6">
        <f t="shared" si="1"/>
        <v>2.8369999999999937E-2</v>
      </c>
      <c r="G32" s="6"/>
      <c r="H32" s="228">
        <f t="shared" si="2"/>
        <v>29529.324082395084</v>
      </c>
      <c r="I32" s="228">
        <f t="shared" si="9"/>
        <v>6776.9798769096706</v>
      </c>
      <c r="J32" s="233">
        <f t="shared" si="3"/>
        <v>95364.952124094911</v>
      </c>
      <c r="K32" s="233"/>
      <c r="L32" s="228">
        <f t="shared" si="4"/>
        <v>30367.07100661263</v>
      </c>
      <c r="M32" s="228">
        <f t="shared" si="10"/>
        <v>6969.2427960175983</v>
      </c>
      <c r="N32" s="233">
        <f t="shared" si="5"/>
        <v>98070.455815855486</v>
      </c>
      <c r="P32" s="1">
        <v>28</v>
      </c>
      <c r="Q32" s="7">
        <f t="shared" si="11"/>
        <v>2.8369999999999933E-2</v>
      </c>
      <c r="S32" s="1">
        <v>28</v>
      </c>
      <c r="T32" s="7">
        <f t="shared" si="12"/>
        <v>7.8749999999999896E-3</v>
      </c>
    </row>
    <row r="33" spans="1:20" x14ac:dyDescent="0.3">
      <c r="A33" s="1">
        <v>29</v>
      </c>
      <c r="B33" s="1">
        <f t="shared" si="6"/>
        <v>1995</v>
      </c>
      <c r="C33" s="228">
        <f t="shared" si="7"/>
        <v>59501.588026026096</v>
      </c>
      <c r="D33" s="6">
        <f t="shared" si="8"/>
        <v>7.5000000000000483E-3</v>
      </c>
      <c r="E33" s="228">
        <f t="shared" si="0"/>
        <v>61163.021117682809</v>
      </c>
      <c r="F33" s="6">
        <f t="shared" si="1"/>
        <v>2.7922499999999979E-2</v>
      </c>
      <c r="G33" s="6"/>
      <c r="H33" s="228">
        <f t="shared" si="2"/>
        <v>29750.794013013048</v>
      </c>
      <c r="I33" s="228">
        <f t="shared" si="9"/>
        <v>6827.8072259864948</v>
      </c>
      <c r="J33" s="233">
        <f t="shared" si="3"/>
        <v>96080.189265025649</v>
      </c>
      <c r="K33" s="233"/>
      <c r="L33" s="228">
        <f t="shared" si="4"/>
        <v>30581.510558841404</v>
      </c>
      <c r="M33" s="228">
        <f t="shared" si="10"/>
        <v>7018.4566732541025</v>
      </c>
      <c r="N33" s="233">
        <f t="shared" si="5"/>
        <v>98762.988349778316</v>
      </c>
      <c r="P33" s="1">
        <v>29</v>
      </c>
      <c r="Q33" s="7">
        <f t="shared" si="11"/>
        <v>2.7922499999999933E-2</v>
      </c>
      <c r="S33" s="1">
        <v>29</v>
      </c>
      <c r="T33" s="7">
        <f t="shared" si="12"/>
        <v>7.4999999999999893E-3</v>
      </c>
    </row>
    <row r="34" spans="1:20" s="235" customFormat="1" x14ac:dyDescent="0.3">
      <c r="A34" s="235">
        <v>30</v>
      </c>
      <c r="B34" s="235">
        <f t="shared" si="6"/>
        <v>1994</v>
      </c>
      <c r="C34" s="236">
        <f t="shared" si="7"/>
        <v>59925.536840711531</v>
      </c>
      <c r="D34" s="237">
        <f t="shared" si="8"/>
        <v>7.1249999999999777E-3</v>
      </c>
      <c r="E34" s="236">
        <f t="shared" si="0"/>
        <v>61571.990965410077</v>
      </c>
      <c r="F34" s="237">
        <f t="shared" si="1"/>
        <v>2.7474999999999951E-2</v>
      </c>
      <c r="G34" s="237"/>
      <c r="H34" s="236">
        <f t="shared" si="2"/>
        <v>29962.768420355766</v>
      </c>
      <c r="I34" s="236">
        <f t="shared" si="9"/>
        <v>6876.4553524716475</v>
      </c>
      <c r="J34" s="239">
        <f t="shared" si="3"/>
        <v>96764.760613538936</v>
      </c>
      <c r="K34" s="239"/>
      <c r="L34" s="236">
        <f t="shared" si="4"/>
        <v>30785.995482705039</v>
      </c>
      <c r="M34" s="236">
        <f t="shared" si="10"/>
        <v>7065.3859632808062</v>
      </c>
      <c r="N34" s="239">
        <f t="shared" si="5"/>
        <v>99423.372411395918</v>
      </c>
      <c r="P34" s="235">
        <v>30</v>
      </c>
      <c r="Q34" s="242">
        <f t="shared" si="11"/>
        <v>2.7474999999999934E-2</v>
      </c>
      <c r="S34" s="235">
        <v>30</v>
      </c>
      <c r="T34" s="242">
        <f t="shared" si="12"/>
        <v>7.124999999999989E-3</v>
      </c>
    </row>
    <row r="35" spans="1:20" x14ac:dyDescent="0.3">
      <c r="A35" s="1">
        <v>31</v>
      </c>
      <c r="B35" s="14">
        <f t="shared" si="6"/>
        <v>1993</v>
      </c>
      <c r="C35" s="228">
        <f t="shared" si="7"/>
        <v>60330.034214386331</v>
      </c>
      <c r="D35" s="6">
        <f t="shared" si="8"/>
        <v>6.7499999999999487E-3</v>
      </c>
      <c r="E35" s="228">
        <f t="shared" si="0"/>
        <v>61960.60421411565</v>
      </c>
      <c r="F35" s="6">
        <f t="shared" si="1"/>
        <v>2.7027499999999885E-2</v>
      </c>
      <c r="G35" s="6"/>
      <c r="H35" s="228">
        <f t="shared" si="2"/>
        <v>30165.017107193165</v>
      </c>
      <c r="I35" s="228">
        <f t="shared" si="9"/>
        <v>6922.8714261008308</v>
      </c>
      <c r="J35" s="233">
        <f t="shared" si="3"/>
        <v>97417.922747680321</v>
      </c>
      <c r="K35" s="233"/>
      <c r="L35" s="228">
        <f t="shared" si="4"/>
        <v>30980.302107057825</v>
      </c>
      <c r="M35" s="228">
        <f t="shared" si="10"/>
        <v>7109.9793335697705</v>
      </c>
      <c r="N35" s="233">
        <f t="shared" si="5"/>
        <v>100050.88565474325</v>
      </c>
      <c r="P35" s="1">
        <v>31</v>
      </c>
      <c r="Q35" s="7">
        <f t="shared" si="11"/>
        <v>2.7027499999999934E-2</v>
      </c>
      <c r="S35" s="1">
        <v>31</v>
      </c>
      <c r="T35" s="7">
        <f t="shared" si="12"/>
        <v>6.7499999999999886E-3</v>
      </c>
    </row>
    <row r="36" spans="1:20" x14ac:dyDescent="0.3">
      <c r="A36" s="1">
        <v>32</v>
      </c>
      <c r="B36" s="1">
        <f t="shared" si="6"/>
        <v>1992</v>
      </c>
      <c r="C36" s="228">
        <f t="shared" si="7"/>
        <v>60714.63818250304</v>
      </c>
      <c r="D36" s="6">
        <f t="shared" si="8"/>
        <v>6.3749999999999432E-3</v>
      </c>
      <c r="E36" s="228">
        <f t="shared" si="0"/>
        <v>62328.433265393964</v>
      </c>
      <c r="F36" s="6">
        <f t="shared" si="1"/>
        <v>2.6579999999999878E-2</v>
      </c>
      <c r="G36" s="6"/>
      <c r="H36" s="228">
        <f t="shared" si="2"/>
        <v>30357.31909125152</v>
      </c>
      <c r="I36" s="228">
        <f t="shared" si="9"/>
        <v>6967.0047314422236</v>
      </c>
      <c r="J36" s="233">
        <f t="shared" si="3"/>
        <v>98038.96200519678</v>
      </c>
      <c r="K36" s="233"/>
      <c r="L36" s="228">
        <f t="shared" si="4"/>
        <v>31164.216632696982</v>
      </c>
      <c r="M36" s="228">
        <f t="shared" si="10"/>
        <v>7152.1877172039576</v>
      </c>
      <c r="N36" s="233">
        <f t="shared" si="5"/>
        <v>100644.83761529491</v>
      </c>
      <c r="P36" s="1">
        <v>32</v>
      </c>
      <c r="Q36" s="7">
        <f t="shared" si="11"/>
        <v>2.6579999999999934E-2</v>
      </c>
      <c r="S36" s="1">
        <v>32</v>
      </c>
      <c r="T36" s="7">
        <f t="shared" si="12"/>
        <v>6.3749999999999883E-3</v>
      </c>
    </row>
    <row r="37" spans="1:20" x14ac:dyDescent="0.3">
      <c r="A37" s="1">
        <v>33</v>
      </c>
      <c r="B37" s="1">
        <f t="shared" si="6"/>
        <v>1991</v>
      </c>
      <c r="C37" s="228">
        <f t="shared" si="7"/>
        <v>61078.926011598058</v>
      </c>
      <c r="D37" s="6">
        <f t="shared" si="8"/>
        <v>5.999999999999988E-3</v>
      </c>
      <c r="E37" s="228">
        <f t="shared" si="0"/>
        <v>62675.071045596138</v>
      </c>
      <c r="F37" s="6">
        <f t="shared" si="1"/>
        <v>2.6132499999999902E-2</v>
      </c>
      <c r="G37" s="6"/>
      <c r="H37" s="228">
        <f t="shared" si="2"/>
        <v>30539.463005799029</v>
      </c>
      <c r="I37" s="228">
        <f t="shared" si="9"/>
        <v>7008.8067598308771</v>
      </c>
      <c r="J37" s="233">
        <f t="shared" si="3"/>
        <v>98627.195777227957</v>
      </c>
      <c r="K37" s="233"/>
      <c r="L37" s="228">
        <f t="shared" si="4"/>
        <v>31337.535522798069</v>
      </c>
      <c r="M37" s="228">
        <f t="shared" si="10"/>
        <v>7191.9644024821564</v>
      </c>
      <c r="N37" s="233">
        <f t="shared" si="5"/>
        <v>101204.57097087636</v>
      </c>
      <c r="P37" s="1">
        <v>33</v>
      </c>
      <c r="Q37" s="7">
        <f t="shared" si="11"/>
        <v>2.6132499999999934E-2</v>
      </c>
      <c r="S37" s="1">
        <v>33</v>
      </c>
      <c r="T37" s="7">
        <f t="shared" si="12"/>
        <v>5.999999999999988E-3</v>
      </c>
    </row>
    <row r="38" spans="1:20" x14ac:dyDescent="0.3">
      <c r="A38" s="1">
        <v>34</v>
      </c>
      <c r="B38" s="1">
        <f t="shared" si="6"/>
        <v>1990</v>
      </c>
      <c r="C38" s="228">
        <f t="shared" si="7"/>
        <v>61422.494970413296</v>
      </c>
      <c r="D38" s="6">
        <f t="shared" si="8"/>
        <v>5.624999999999985E-3</v>
      </c>
      <c r="E38" s="228">
        <f t="shared" si="0"/>
        <v>63000.131753728354</v>
      </c>
      <c r="F38" s="6">
        <f t="shared" si="1"/>
        <v>2.5684999999999878E-2</v>
      </c>
      <c r="G38" s="6"/>
      <c r="H38" s="228">
        <f t="shared" si="2"/>
        <v>30711.247485206648</v>
      </c>
      <c r="I38" s="228">
        <f t="shared" si="9"/>
        <v>7048.2312978549253</v>
      </c>
      <c r="J38" s="233">
        <f t="shared" si="3"/>
        <v>99181.973753474871</v>
      </c>
      <c r="K38" s="233"/>
      <c r="L38" s="228">
        <f t="shared" si="4"/>
        <v>31500.065876864177</v>
      </c>
      <c r="M38" s="228">
        <f t="shared" si="10"/>
        <v>7229.2651187403289</v>
      </c>
      <c r="N38" s="233">
        <f t="shared" si="5"/>
        <v>101729.46274933286</v>
      </c>
      <c r="P38" s="1">
        <v>34</v>
      </c>
      <c r="Q38" s="7">
        <f t="shared" si="11"/>
        <v>2.5684999999999934E-2</v>
      </c>
      <c r="S38" s="1">
        <v>34</v>
      </c>
      <c r="T38" s="7">
        <f t="shared" si="12"/>
        <v>5.6249999999999876E-3</v>
      </c>
    </row>
    <row r="39" spans="1:20" s="235" customFormat="1" x14ac:dyDescent="0.3">
      <c r="A39" s="235">
        <v>35</v>
      </c>
      <c r="B39" s="235">
        <f t="shared" si="6"/>
        <v>1989</v>
      </c>
      <c r="C39" s="236">
        <f t="shared" si="7"/>
        <v>61744.963069007965</v>
      </c>
      <c r="D39" s="237">
        <f t="shared" si="8"/>
        <v>5.2499999999999847E-3</v>
      </c>
      <c r="E39" s="236">
        <f t="shared" si="0"/>
        <v>63303.251574462047</v>
      </c>
      <c r="F39" s="237">
        <f t="shared" si="1"/>
        <v>2.5237499999999895E-2</v>
      </c>
      <c r="G39" s="237"/>
      <c r="H39" s="236">
        <f t="shared" si="2"/>
        <v>30872.481534503982</v>
      </c>
      <c r="I39" s="236">
        <f t="shared" si="9"/>
        <v>7085.234512168664</v>
      </c>
      <c r="J39" s="239">
        <f t="shared" si="3"/>
        <v>99702.679115680614</v>
      </c>
      <c r="K39" s="239"/>
      <c r="L39" s="236">
        <f t="shared" si="4"/>
        <v>31651.625787231023</v>
      </c>
      <c r="M39" s="236">
        <f t="shared" si="10"/>
        <v>7264.0481181695195</v>
      </c>
      <c r="N39" s="239">
        <f t="shared" si="5"/>
        <v>102218.92547986259</v>
      </c>
      <c r="P39" s="235">
        <v>35</v>
      </c>
      <c r="Q39" s="242">
        <f t="shared" si="11"/>
        <v>2.5237499999999934E-2</v>
      </c>
      <c r="S39" s="235">
        <v>35</v>
      </c>
      <c r="T39" s="242">
        <f t="shared" si="12"/>
        <v>5.2499999999999873E-3</v>
      </c>
    </row>
    <row r="40" spans="1:20" x14ac:dyDescent="0.3">
      <c r="A40" s="1">
        <v>36</v>
      </c>
      <c r="B40" s="14">
        <f t="shared" si="6"/>
        <v>1988</v>
      </c>
      <c r="C40" s="228">
        <f t="shared" si="7"/>
        <v>62045.969763969377</v>
      </c>
      <c r="D40" s="6">
        <f t="shared" si="8"/>
        <v>4.8749999999999705E-3</v>
      </c>
      <c r="E40" s="228">
        <f t="shared" si="0"/>
        <v>63584.089354418174</v>
      </c>
      <c r="F40" s="6">
        <f t="shared" si="1"/>
        <v>2.4789999999999947E-2</v>
      </c>
      <c r="G40" s="6"/>
      <c r="H40" s="228">
        <f t="shared" si="2"/>
        <v>31022.984881984688</v>
      </c>
      <c r="I40" s="228">
        <f t="shared" si="9"/>
        <v>7119.7750304154861</v>
      </c>
      <c r="J40" s="233">
        <f t="shared" si="3"/>
        <v>100188.72967636956</v>
      </c>
      <c r="K40" s="233"/>
      <c r="L40" s="228">
        <f t="shared" si="4"/>
        <v>31792.044677209087</v>
      </c>
      <c r="M40" s="228">
        <f t="shared" si="10"/>
        <v>7296.2742534194858</v>
      </c>
      <c r="N40" s="233">
        <f t="shared" si="5"/>
        <v>102672.40828504675</v>
      </c>
      <c r="P40" s="1">
        <v>36</v>
      </c>
      <c r="Q40" s="7">
        <f t="shared" si="11"/>
        <v>2.4789999999999934E-2</v>
      </c>
      <c r="S40" s="1">
        <v>36</v>
      </c>
      <c r="T40" s="7">
        <f t="shared" si="12"/>
        <v>4.874999999999987E-3</v>
      </c>
    </row>
    <row r="41" spans="1:20" x14ac:dyDescent="0.3">
      <c r="A41" s="1">
        <v>37</v>
      </c>
      <c r="B41" s="1">
        <f t="shared" si="6"/>
        <v>1987</v>
      </c>
      <c r="C41" s="228">
        <f t="shared" si="7"/>
        <v>62325.17662790724</v>
      </c>
      <c r="D41" s="6">
        <f t="shared" si="8"/>
        <v>4.5000000000000144E-3</v>
      </c>
      <c r="E41" s="228">
        <f t="shared" si="0"/>
        <v>63842.327239972066</v>
      </c>
      <c r="F41" s="6">
        <f t="shared" si="1"/>
        <v>2.4342499999999909E-2</v>
      </c>
      <c r="G41" s="6"/>
      <c r="H41" s="228">
        <f t="shared" si="2"/>
        <v>31162.58831395362</v>
      </c>
      <c r="I41" s="228">
        <f t="shared" si="9"/>
        <v>7151.814018052356</v>
      </c>
      <c r="J41" s="233">
        <f t="shared" si="3"/>
        <v>100639.57895991323</v>
      </c>
      <c r="K41" s="233"/>
      <c r="L41" s="228">
        <f t="shared" si="4"/>
        <v>31921.163619986033</v>
      </c>
      <c r="M41" s="228">
        <f t="shared" si="10"/>
        <v>7325.9070507867946</v>
      </c>
      <c r="N41" s="233">
        <f t="shared" si="5"/>
        <v>103089.39791074488</v>
      </c>
      <c r="P41" s="1">
        <v>37</v>
      </c>
      <c r="Q41" s="7">
        <f t="shared" si="11"/>
        <v>2.4342499999999934E-2</v>
      </c>
      <c r="S41" s="1">
        <v>37</v>
      </c>
      <c r="T41" s="7">
        <f t="shared" si="12"/>
        <v>4.4999999999999866E-3</v>
      </c>
    </row>
    <row r="42" spans="1:20" x14ac:dyDescent="0.3">
      <c r="A42" s="1">
        <v>38</v>
      </c>
      <c r="B42" s="1">
        <f t="shared" si="6"/>
        <v>1986</v>
      </c>
      <c r="C42" s="228">
        <f t="shared" si="7"/>
        <v>62582.26798149736</v>
      </c>
      <c r="D42" s="6">
        <f t="shared" si="8"/>
        <v>4.1250000000000418E-3</v>
      </c>
      <c r="E42" s="228">
        <f t="shared" si="0"/>
        <v>64077.671274915236</v>
      </c>
      <c r="F42" s="6">
        <f t="shared" si="1"/>
        <v>2.3894999999999944E-2</v>
      </c>
      <c r="G42" s="6"/>
      <c r="H42" s="228">
        <f t="shared" si="2"/>
        <v>31291.13399074868</v>
      </c>
      <c r="I42" s="228">
        <f t="shared" si="9"/>
        <v>7181.3152508768217</v>
      </c>
      <c r="J42" s="233">
        <f t="shared" si="3"/>
        <v>101054.71722312286</v>
      </c>
      <c r="K42" s="233"/>
      <c r="L42" s="228">
        <f t="shared" si="4"/>
        <v>32038.835637457618</v>
      </c>
      <c r="M42" s="228">
        <f t="shared" si="10"/>
        <v>7352.9127787965235</v>
      </c>
      <c r="N42" s="233">
        <f t="shared" si="5"/>
        <v>103469.41969116939</v>
      </c>
      <c r="P42" s="1">
        <v>38</v>
      </c>
      <c r="Q42" s="7">
        <f t="shared" si="11"/>
        <v>2.3894999999999934E-2</v>
      </c>
      <c r="S42" s="1">
        <v>38</v>
      </c>
      <c r="T42" s="7">
        <f t="shared" si="12"/>
        <v>4.1249999999999863E-3</v>
      </c>
    </row>
    <row r="43" spans="1:20" x14ac:dyDescent="0.3">
      <c r="A43" s="1">
        <v>39</v>
      </c>
      <c r="B43" s="1">
        <f t="shared" si="6"/>
        <v>1985</v>
      </c>
      <c r="C43" s="228">
        <f t="shared" si="7"/>
        <v>62816.951486427977</v>
      </c>
      <c r="D43" s="6">
        <f t="shared" si="8"/>
        <v>3.7500000000000359E-3</v>
      </c>
      <c r="E43" s="228">
        <f t="shared" si="0"/>
        <v>64289.85195640599</v>
      </c>
      <c r="F43" s="6">
        <f t="shared" si="1"/>
        <v>2.3447499999999882E-2</v>
      </c>
      <c r="G43" s="6"/>
      <c r="H43" s="228">
        <f t="shared" si="2"/>
        <v>31408.475743213989</v>
      </c>
      <c r="I43" s="228">
        <f t="shared" si="9"/>
        <v>7208.24518306761</v>
      </c>
      <c r="J43" s="233">
        <f t="shared" si="3"/>
        <v>101433.67241270958</v>
      </c>
      <c r="K43" s="233"/>
      <c r="L43" s="228">
        <f t="shared" si="4"/>
        <v>32144.925978202995</v>
      </c>
      <c r="M43" s="228">
        <f t="shared" si="10"/>
        <v>7377.2605119975869</v>
      </c>
      <c r="N43" s="233">
        <f t="shared" si="5"/>
        <v>103812.03844660657</v>
      </c>
      <c r="P43" s="1">
        <v>39</v>
      </c>
      <c r="Q43" s="7">
        <f t="shared" si="11"/>
        <v>2.3447499999999934E-2</v>
      </c>
      <c r="S43" s="1">
        <v>39</v>
      </c>
      <c r="T43" s="7">
        <f t="shared" si="12"/>
        <v>3.7499999999999864E-3</v>
      </c>
    </row>
    <row r="44" spans="1:20" s="235" customFormat="1" x14ac:dyDescent="0.3">
      <c r="A44" s="235">
        <v>40</v>
      </c>
      <c r="B44" s="235">
        <f t="shared" si="6"/>
        <v>1984</v>
      </c>
      <c r="C44" s="236">
        <f t="shared" si="7"/>
        <v>63028.958697694674</v>
      </c>
      <c r="D44" s="237">
        <f t="shared" si="8"/>
        <v>3.375000000000036E-3</v>
      </c>
      <c r="E44" s="236">
        <f t="shared" si="0"/>
        <v>64478.624747741647</v>
      </c>
      <c r="F44" s="237">
        <f t="shared" si="1"/>
        <v>2.2999999999999934E-2</v>
      </c>
      <c r="G44" s="237"/>
      <c r="H44" s="236">
        <f t="shared" si="2"/>
        <v>31514.479348847337</v>
      </c>
      <c r="I44" s="236">
        <f t="shared" si="9"/>
        <v>7232.5730105604634</v>
      </c>
      <c r="J44" s="239">
        <f t="shared" si="3"/>
        <v>101776.01105710247</v>
      </c>
      <c r="K44" s="239"/>
      <c r="L44" s="236">
        <f t="shared" si="4"/>
        <v>32239.312373870824</v>
      </c>
      <c r="M44" s="236">
        <f t="shared" si="10"/>
        <v>7398.9221898033538</v>
      </c>
      <c r="N44" s="239">
        <f t="shared" si="5"/>
        <v>104116.85931141583</v>
      </c>
      <c r="P44" s="235">
        <v>40</v>
      </c>
      <c r="Q44" s="242">
        <f t="shared" si="11"/>
        <v>2.2999999999999934E-2</v>
      </c>
      <c r="S44" s="235">
        <v>40</v>
      </c>
      <c r="T44" s="242">
        <f t="shared" si="12"/>
        <v>3.3749999999999865E-3</v>
      </c>
    </row>
    <row r="45" spans="1:20" x14ac:dyDescent="0.3">
      <c r="T45" s="7"/>
    </row>
  </sheetData>
  <sheetProtection algorithmName="SHA-512" hashValue="NM18EiHw//sjj0NPczJPe2h2OnV4fpVoWU3ikAxUZw0lTs2hJFwrPfujjUOkSJifYjhpw0ZEU14dzVqcUs96Gw==" saltValue="ZVK2aeJlhSAXa+d49dghRg==" spinCount="100000" sheet="1" objects="1" scenarios="1"/>
  <mergeCells count="3">
    <mergeCell ref="B2:C2"/>
    <mergeCell ref="G2:N2"/>
    <mergeCell ref="X2:Y2"/>
  </mergeCells>
  <pageMargins left="0.7" right="0.7" top="0.75" bottom="0.75" header="0.3" footer="0.3"/>
  <pageSetup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E1B8-E1EB-46FC-8C88-3C4A7C9EC4D5}">
  <dimension ref="A1:AM46"/>
  <sheetViews>
    <sheetView zoomScaleNormal="100" workbookViewId="0">
      <selection activeCell="C4" sqref="C4"/>
    </sheetView>
  </sheetViews>
  <sheetFormatPr defaultColWidth="12.1796875" defaultRowHeight="14" x14ac:dyDescent="0.3"/>
  <cols>
    <col min="1" max="1" width="8.81640625" style="1" customWidth="1"/>
    <col min="2" max="2" width="9.1796875" style="1" customWidth="1"/>
    <col min="3" max="3" width="11.1796875" style="15" customWidth="1"/>
    <col min="4" max="4" width="1.453125" style="15" hidden="1" customWidth="1"/>
    <col min="5" max="5" width="9.453125" style="15" customWidth="1"/>
    <col min="6" max="6" width="10.1796875" style="1" hidden="1" customWidth="1"/>
    <col min="7" max="7" width="4.54296875" style="1" customWidth="1"/>
    <col min="8" max="8" width="5.54296875" style="1" hidden="1" customWidth="1"/>
    <col min="9" max="9" width="8.7265625" style="1" hidden="1" customWidth="1"/>
    <col min="10" max="10" width="4.453125" style="1" hidden="1" customWidth="1"/>
    <col min="11" max="11" width="5.453125" style="1" hidden="1" customWidth="1"/>
    <col min="12" max="12" width="8.81640625" style="1" hidden="1" customWidth="1"/>
    <col min="13" max="13" width="12.453125" style="1" hidden="1" customWidth="1"/>
    <col min="14" max="16384" width="12.1796875" style="1"/>
  </cols>
  <sheetData>
    <row r="1" spans="1:39" s="17" customFormat="1" ht="15.5" x14ac:dyDescent="0.35">
      <c r="A1" s="422" t="s">
        <v>81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</row>
    <row r="2" spans="1:39" ht="30.65" hidden="1" customHeight="1" x14ac:dyDescent="0.3">
      <c r="A2" s="421" t="s">
        <v>62</v>
      </c>
      <c r="B2" s="421"/>
      <c r="C2" s="31">
        <v>4.4999999999999998E-2</v>
      </c>
      <c r="D2" s="2"/>
      <c r="E2" s="421" t="s">
        <v>82</v>
      </c>
      <c r="F2" s="421"/>
      <c r="G2" s="421"/>
      <c r="H2" s="421"/>
      <c r="I2" s="421"/>
      <c r="J2" s="421"/>
    </row>
    <row r="3" spans="1:39" s="16" customFormat="1" ht="69" customHeight="1" x14ac:dyDescent="0.35">
      <c r="A3" s="16" t="s">
        <v>64</v>
      </c>
      <c r="B3" s="16" t="s">
        <v>10</v>
      </c>
      <c r="C3" s="29" t="s">
        <v>65</v>
      </c>
      <c r="D3" s="29" t="s">
        <v>66</v>
      </c>
      <c r="E3" s="29" t="s">
        <v>67</v>
      </c>
      <c r="F3" s="16" t="s">
        <v>68</v>
      </c>
      <c r="H3" s="30" t="s">
        <v>75</v>
      </c>
      <c r="I3" s="16" t="s">
        <v>83</v>
      </c>
      <c r="J3" s="30" t="s">
        <v>77</v>
      </c>
      <c r="K3" s="16" t="s">
        <v>75</v>
      </c>
      <c r="L3" s="16" t="s">
        <v>84</v>
      </c>
      <c r="M3" s="16" t="s">
        <v>79</v>
      </c>
    </row>
    <row r="4" spans="1:39" ht="15" x14ac:dyDescent="0.3">
      <c r="A4" s="1" t="s">
        <v>80</v>
      </c>
      <c r="B4" s="1">
        <v>2023</v>
      </c>
      <c r="C4" s="3">
        <v>39249</v>
      </c>
      <c r="D4" s="4"/>
      <c r="E4" s="5">
        <f t="shared" ref="E4:E44" si="0">SUM(C4*I4)+C4</f>
        <v>40854.284099999997</v>
      </c>
      <c r="F4" s="6">
        <f t="shared" ref="F4:F44" si="1">SUM(E4-C4)/C4</f>
        <v>4.0899999999999929E-2</v>
      </c>
      <c r="G4" s="6"/>
      <c r="H4" s="1">
        <v>0</v>
      </c>
      <c r="I4" s="7">
        <v>4.0899999999999999E-2</v>
      </c>
      <c r="J4" s="8">
        <f>((0.0409-0.023)/40)</f>
        <v>4.4749999999999998E-4</v>
      </c>
      <c r="K4" s="1">
        <v>0</v>
      </c>
      <c r="L4" s="7"/>
      <c r="M4" s="9"/>
    </row>
    <row r="5" spans="1:39" x14ac:dyDescent="0.3">
      <c r="A5" s="1">
        <v>1</v>
      </c>
      <c r="B5" s="1">
        <f t="shared" ref="B5:B44" si="2">B4-1</f>
        <v>2022</v>
      </c>
      <c r="C5" s="4">
        <f t="shared" ref="C5:C44" si="3">SUM(C4*L5)+C4</f>
        <v>39955.482000000004</v>
      </c>
      <c r="D5" s="10">
        <f t="shared" ref="D5:D44" si="4">SUM(C5-C4)/C4</f>
        <v>1.8000000000000092E-2</v>
      </c>
      <c r="E5" s="4">
        <f t="shared" si="0"/>
        <v>41571.781135605001</v>
      </c>
      <c r="F5" s="6">
        <f t="shared" si="1"/>
        <v>4.0452499999999919E-2</v>
      </c>
      <c r="G5" s="6"/>
      <c r="H5" s="1">
        <v>1</v>
      </c>
      <c r="I5" s="7">
        <f t="shared" ref="I5:I44" si="5">I4-$J$4</f>
        <v>4.0452500000000002E-2</v>
      </c>
      <c r="J5" s="11" t="s">
        <v>85</v>
      </c>
      <c r="K5" s="1">
        <v>1</v>
      </c>
      <c r="L5" s="7">
        <v>1.7999999999999999E-2</v>
      </c>
      <c r="M5" s="12">
        <f>((0.02-0.005)/40)</f>
        <v>3.7500000000000001E-4</v>
      </c>
    </row>
    <row r="6" spans="1:39" x14ac:dyDescent="0.3">
      <c r="A6" s="1">
        <v>2</v>
      </c>
      <c r="B6" s="1">
        <f t="shared" si="2"/>
        <v>2021</v>
      </c>
      <c r="C6" s="4">
        <f t="shared" si="3"/>
        <v>40659.697370250004</v>
      </c>
      <c r="D6" s="10">
        <f t="shared" si="4"/>
        <v>1.7624999999999998E-2</v>
      </c>
      <c r="E6" s="4">
        <f t="shared" si="0"/>
        <v>42286.288563546856</v>
      </c>
      <c r="F6" s="6">
        <f t="shared" si="1"/>
        <v>4.0005000000000013E-2</v>
      </c>
      <c r="G6" s="6"/>
      <c r="H6" s="1">
        <v>2</v>
      </c>
      <c r="I6" s="7">
        <f t="shared" si="5"/>
        <v>4.0004999999999999E-2</v>
      </c>
      <c r="K6" s="1">
        <v>2</v>
      </c>
      <c r="L6" s="7">
        <f t="shared" ref="L6:L44" si="6">L5-$M$5</f>
        <v>1.7624999999999998E-2</v>
      </c>
      <c r="M6" s="13" t="s">
        <v>86</v>
      </c>
    </row>
    <row r="7" spans="1:39" x14ac:dyDescent="0.3">
      <c r="A7" s="1">
        <v>3</v>
      </c>
      <c r="B7" s="1">
        <f t="shared" si="2"/>
        <v>2020</v>
      </c>
      <c r="C7" s="4">
        <f t="shared" si="3"/>
        <v>41361.077149886813</v>
      </c>
      <c r="D7" s="10">
        <f t="shared" si="4"/>
        <v>1.7249999999999911E-2</v>
      </c>
      <c r="E7" s="4">
        <f t="shared" si="0"/>
        <v>42997.217959243462</v>
      </c>
      <c r="F7" s="6">
        <f t="shared" si="1"/>
        <v>3.9557500000000051E-2</v>
      </c>
      <c r="G7" s="6"/>
      <c r="H7" s="1">
        <v>3</v>
      </c>
      <c r="I7" s="7">
        <f t="shared" si="5"/>
        <v>3.9557499999999995E-2</v>
      </c>
      <c r="K7" s="1">
        <v>3</v>
      </c>
      <c r="L7" s="7">
        <f t="shared" si="6"/>
        <v>1.7249999999999998E-2</v>
      </c>
    </row>
    <row r="8" spans="1:39" x14ac:dyDescent="0.3">
      <c r="A8" s="1">
        <v>4</v>
      </c>
      <c r="B8" s="1">
        <f t="shared" si="2"/>
        <v>2019</v>
      </c>
      <c r="C8" s="4">
        <f t="shared" si="3"/>
        <v>42059.045326791151</v>
      </c>
      <c r="D8" s="10">
        <f t="shared" si="4"/>
        <v>1.6874999999999956E-2</v>
      </c>
      <c r="E8" s="4">
        <f t="shared" si="0"/>
        <v>43703.974589521953</v>
      </c>
      <c r="F8" s="6">
        <f t="shared" si="1"/>
        <v>3.9110000000000006E-2</v>
      </c>
      <c r="G8" s="6"/>
      <c r="H8" s="1">
        <v>4</v>
      </c>
      <c r="I8" s="7">
        <f t="shared" si="5"/>
        <v>3.9109999999999992E-2</v>
      </c>
      <c r="K8" s="1">
        <v>4</v>
      </c>
      <c r="L8" s="7">
        <f t="shared" si="6"/>
        <v>1.6874999999999998E-2</v>
      </c>
    </row>
    <row r="9" spans="1:39" s="26" customFormat="1" x14ac:dyDescent="0.3">
      <c r="A9" s="22">
        <v>5</v>
      </c>
      <c r="B9" s="22">
        <f t="shared" si="2"/>
        <v>2018</v>
      </c>
      <c r="C9" s="23">
        <f t="shared" si="3"/>
        <v>42753.019574683203</v>
      </c>
      <c r="D9" s="24">
        <f t="shared" si="4"/>
        <v>1.6499999999999966E-2</v>
      </c>
      <c r="E9" s="23">
        <f t="shared" si="0"/>
        <v>44405.958193989391</v>
      </c>
      <c r="F9" s="25">
        <f t="shared" si="1"/>
        <v>3.8662499999999954E-2</v>
      </c>
      <c r="G9" s="25"/>
      <c r="H9" s="26">
        <v>5</v>
      </c>
      <c r="I9" s="27">
        <f t="shared" si="5"/>
        <v>3.8662499999999989E-2</v>
      </c>
      <c r="K9" s="26">
        <v>5</v>
      </c>
      <c r="L9" s="27">
        <f t="shared" si="6"/>
        <v>1.6499999999999997E-2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3">
      <c r="A10" s="1">
        <v>6</v>
      </c>
      <c r="B10" s="14">
        <f t="shared" si="2"/>
        <v>2017</v>
      </c>
      <c r="C10" s="4">
        <f t="shared" si="3"/>
        <v>43442.412015324968</v>
      </c>
      <c r="D10" s="10">
        <f t="shared" si="4"/>
        <v>1.6124999999999952E-2</v>
      </c>
      <c r="E10" s="4">
        <f t="shared" si="0"/>
        <v>45102.563790490611</v>
      </c>
      <c r="F10" s="6">
        <f t="shared" si="1"/>
        <v>3.8214999999999985E-2</v>
      </c>
      <c r="G10" s="6"/>
      <c r="H10" s="1">
        <v>6</v>
      </c>
      <c r="I10" s="7">
        <f t="shared" si="5"/>
        <v>3.8214999999999985E-2</v>
      </c>
      <c r="K10" s="1">
        <v>6</v>
      </c>
      <c r="L10" s="7">
        <f t="shared" si="6"/>
        <v>1.6124999999999997E-2</v>
      </c>
    </row>
    <row r="11" spans="1:39" x14ac:dyDescent="0.3">
      <c r="A11" s="1">
        <v>7</v>
      </c>
      <c r="B11" s="1">
        <f t="shared" si="2"/>
        <v>2016</v>
      </c>
      <c r="C11" s="4">
        <f t="shared" si="3"/>
        <v>44126.630004566337</v>
      </c>
      <c r="D11" s="10">
        <f t="shared" si="4"/>
        <v>1.5750000000000031E-2</v>
      </c>
      <c r="E11" s="4">
        <f t="shared" si="0"/>
        <v>45793.182503263793</v>
      </c>
      <c r="F11" s="6">
        <f t="shared" si="1"/>
        <v>3.7767499999999926E-2</v>
      </c>
      <c r="G11" s="6"/>
      <c r="H11" s="1">
        <v>7</v>
      </c>
      <c r="I11" s="7">
        <f t="shared" si="5"/>
        <v>3.7767499999999982E-2</v>
      </c>
      <c r="K11" s="1">
        <v>7</v>
      </c>
      <c r="L11" s="7">
        <f t="shared" si="6"/>
        <v>1.5749999999999997E-2</v>
      </c>
    </row>
    <row r="12" spans="1:39" x14ac:dyDescent="0.3">
      <c r="A12" s="1">
        <v>8</v>
      </c>
      <c r="B12" s="1">
        <f t="shared" si="2"/>
        <v>2015</v>
      </c>
      <c r="C12" s="4">
        <f t="shared" si="3"/>
        <v>44805.076940886545</v>
      </c>
      <c r="D12" s="10">
        <f t="shared" si="4"/>
        <v>1.537500000000001E-2</v>
      </c>
      <c r="E12" s="4">
        <f t="shared" si="0"/>
        <v>46477.202412320432</v>
      </c>
      <c r="F12" s="6">
        <f t="shared" si="1"/>
        <v>3.7320000000000013E-2</v>
      </c>
      <c r="G12" s="6"/>
      <c r="H12" s="1">
        <v>8</v>
      </c>
      <c r="I12" s="7">
        <f t="shared" si="5"/>
        <v>3.7319999999999978E-2</v>
      </c>
      <c r="K12" s="1">
        <v>8</v>
      </c>
      <c r="L12" s="7">
        <f t="shared" si="6"/>
        <v>1.5374999999999996E-2</v>
      </c>
    </row>
    <row r="13" spans="1:39" x14ac:dyDescent="0.3">
      <c r="A13" s="1">
        <v>9</v>
      </c>
      <c r="B13" s="1">
        <f t="shared" si="2"/>
        <v>2014</v>
      </c>
      <c r="C13" s="4">
        <f t="shared" si="3"/>
        <v>45477.153094999841</v>
      </c>
      <c r="D13" s="10">
        <f t="shared" si="4"/>
        <v>1.4999999999999953E-2</v>
      </c>
      <c r="E13" s="4">
        <f t="shared" si="0"/>
        <v>47154.009422495219</v>
      </c>
      <c r="F13" s="6">
        <f t="shared" si="1"/>
        <v>3.6872499999999912E-2</v>
      </c>
      <c r="G13" s="6"/>
      <c r="H13" s="1">
        <v>9</v>
      </c>
      <c r="I13" s="7">
        <f t="shared" si="5"/>
        <v>3.6872499999999975E-2</v>
      </c>
      <c r="K13" s="1">
        <v>9</v>
      </c>
      <c r="L13" s="7">
        <f t="shared" si="6"/>
        <v>1.4999999999999996E-2</v>
      </c>
    </row>
    <row r="14" spans="1:39" s="22" customFormat="1" x14ac:dyDescent="0.3">
      <c r="A14" s="22">
        <v>10</v>
      </c>
      <c r="B14" s="22">
        <f t="shared" si="2"/>
        <v>2013</v>
      </c>
      <c r="C14" s="23">
        <f t="shared" si="3"/>
        <v>46142.256459014214</v>
      </c>
      <c r="D14" s="24">
        <f t="shared" si="4"/>
        <v>1.4624999999999992E-2</v>
      </c>
      <c r="E14" s="23">
        <f t="shared" si="0"/>
        <v>47822.988150533805</v>
      </c>
      <c r="F14" s="25">
        <f t="shared" si="1"/>
        <v>3.6424999999999971E-2</v>
      </c>
      <c r="G14" s="25"/>
      <c r="H14" s="22">
        <v>10</v>
      </c>
      <c r="I14" s="28">
        <f t="shared" si="5"/>
        <v>3.6424999999999971E-2</v>
      </c>
      <c r="K14" s="22">
        <v>10</v>
      </c>
      <c r="L14" s="28">
        <f t="shared" si="6"/>
        <v>1.4624999999999996E-2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3">
      <c r="A15" s="1">
        <v>11</v>
      </c>
      <c r="B15" s="14">
        <f t="shared" si="2"/>
        <v>2012</v>
      </c>
      <c r="C15" s="4">
        <f t="shared" si="3"/>
        <v>46799.783613555162</v>
      </c>
      <c r="D15" s="10">
        <f t="shared" si="4"/>
        <v>1.4249999999999916E-2</v>
      </c>
      <c r="E15" s="4">
        <f t="shared" si="0"/>
        <v>48483.522828511843</v>
      </c>
      <c r="F15" s="6">
        <f t="shared" si="1"/>
        <v>3.5977499999999989E-2</v>
      </c>
      <c r="G15" s="6"/>
      <c r="H15" s="1">
        <v>11</v>
      </c>
      <c r="I15" s="7">
        <f t="shared" si="5"/>
        <v>3.5977499999999968E-2</v>
      </c>
      <c r="K15" s="1">
        <v>11</v>
      </c>
      <c r="L15" s="7">
        <f t="shared" si="6"/>
        <v>1.4249999999999995E-2</v>
      </c>
    </row>
    <row r="16" spans="1:39" x14ac:dyDescent="0.3">
      <c r="A16" s="1">
        <v>12</v>
      </c>
      <c r="B16" s="1">
        <f t="shared" si="2"/>
        <v>2011</v>
      </c>
      <c r="C16" s="4">
        <f t="shared" si="3"/>
        <v>47449.130611193243</v>
      </c>
      <c r="D16" s="10">
        <f t="shared" si="4"/>
        <v>1.387500000000005E-2</v>
      </c>
      <c r="E16" s="4">
        <f t="shared" si="0"/>
        <v>49134.998221808935</v>
      </c>
      <c r="F16" s="6">
        <f t="shared" si="1"/>
        <v>3.552999999999993E-2</v>
      </c>
      <c r="G16" s="6"/>
      <c r="H16" s="1">
        <v>12</v>
      </c>
      <c r="I16" s="7">
        <f t="shared" si="5"/>
        <v>3.5529999999999964E-2</v>
      </c>
      <c r="K16" s="1">
        <v>12</v>
      </c>
      <c r="L16" s="7">
        <f t="shared" si="6"/>
        <v>1.3874999999999995E-2</v>
      </c>
    </row>
    <row r="17" spans="1:39" x14ac:dyDescent="0.3">
      <c r="A17" s="1">
        <v>13</v>
      </c>
      <c r="B17" s="1">
        <f t="shared" si="2"/>
        <v>2010</v>
      </c>
      <c r="C17" s="4">
        <f t="shared" si="3"/>
        <v>48089.693874444354</v>
      </c>
      <c r="D17" s="10">
        <f t="shared" si="4"/>
        <v>1.3500000000000057E-2</v>
      </c>
      <c r="E17" s="4">
        <f t="shared" si="0"/>
        <v>49776.800559794545</v>
      </c>
      <c r="F17" s="6">
        <f t="shared" si="1"/>
        <v>3.5082499999999926E-2</v>
      </c>
      <c r="G17" s="6"/>
      <c r="H17" s="1">
        <v>13</v>
      </c>
      <c r="I17" s="7">
        <f t="shared" si="5"/>
        <v>3.5082499999999961E-2</v>
      </c>
      <c r="K17" s="1">
        <v>13</v>
      </c>
      <c r="L17" s="7">
        <f t="shared" si="6"/>
        <v>1.3499999999999995E-2</v>
      </c>
    </row>
    <row r="18" spans="1:39" x14ac:dyDescent="0.3">
      <c r="A18" s="1">
        <v>14</v>
      </c>
      <c r="B18" s="1">
        <f t="shared" si="2"/>
        <v>2009</v>
      </c>
      <c r="C18" s="4">
        <f t="shared" si="3"/>
        <v>48720.871106546438</v>
      </c>
      <c r="D18" s="10">
        <f t="shared" si="4"/>
        <v>1.3125000000000029E-2</v>
      </c>
      <c r="E18" s="4">
        <f t="shared" si="0"/>
        <v>50408.318477321671</v>
      </c>
      <c r="F18" s="6">
        <f t="shared" si="1"/>
        <v>3.4634999999999944E-2</v>
      </c>
      <c r="G18" s="6"/>
      <c r="H18" s="1">
        <v>14</v>
      </c>
      <c r="I18" s="7">
        <f t="shared" si="5"/>
        <v>3.4634999999999957E-2</v>
      </c>
      <c r="K18" s="1">
        <v>14</v>
      </c>
      <c r="L18" s="7">
        <f t="shared" si="6"/>
        <v>1.3124999999999994E-2</v>
      </c>
    </row>
    <row r="19" spans="1:39" s="22" customFormat="1" x14ac:dyDescent="0.3">
      <c r="A19" s="22">
        <v>15</v>
      </c>
      <c r="B19" s="22">
        <f t="shared" si="2"/>
        <v>2008</v>
      </c>
      <c r="C19" s="23">
        <f t="shared" si="3"/>
        <v>49342.062213154903</v>
      </c>
      <c r="D19" s="24">
        <f t="shared" si="4"/>
        <v>1.2749999999999956E-2</v>
      </c>
      <c r="E19" s="23">
        <f t="shared" si="0"/>
        <v>51028.943965067134</v>
      </c>
      <c r="F19" s="25">
        <f t="shared" si="1"/>
        <v>3.4187499999999961E-2</v>
      </c>
      <c r="G19" s="25"/>
      <c r="H19" s="22">
        <v>15</v>
      </c>
      <c r="I19" s="28">
        <f t="shared" si="5"/>
        <v>3.4187499999999954E-2</v>
      </c>
      <c r="K19" s="22">
        <v>15</v>
      </c>
      <c r="L19" s="28">
        <f t="shared" si="6"/>
        <v>1.2749999999999994E-2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3">
      <c r="A20" s="1">
        <v>16</v>
      </c>
      <c r="B20" s="14">
        <f t="shared" si="2"/>
        <v>2007</v>
      </c>
      <c r="C20" s="4">
        <f t="shared" si="3"/>
        <v>49952.670233042692</v>
      </c>
      <c r="D20" s="10">
        <f t="shared" si="4"/>
        <v>1.2374999999999959E-2</v>
      </c>
      <c r="E20" s="4">
        <f t="shared" si="0"/>
        <v>51638.073326705548</v>
      </c>
      <c r="F20" s="6">
        <f t="shared" si="1"/>
        <v>3.3739999999999895E-2</v>
      </c>
      <c r="G20" s="6"/>
      <c r="H20" s="1">
        <v>16</v>
      </c>
      <c r="I20" s="7">
        <f t="shared" si="5"/>
        <v>3.3739999999999951E-2</v>
      </c>
      <c r="K20" s="1">
        <v>16</v>
      </c>
      <c r="L20" s="7">
        <f t="shared" si="6"/>
        <v>1.2374999999999994E-2</v>
      </c>
    </row>
    <row r="21" spans="1:39" x14ac:dyDescent="0.3">
      <c r="A21" s="1">
        <v>17</v>
      </c>
      <c r="B21" s="1">
        <f t="shared" si="2"/>
        <v>2006</v>
      </c>
      <c r="C21" s="4">
        <f t="shared" si="3"/>
        <v>50552.102275839206</v>
      </c>
      <c r="D21" s="10">
        <f t="shared" si="4"/>
        <v>1.2000000000000033E-2</v>
      </c>
      <c r="E21" s="4">
        <f t="shared" si="0"/>
        <v>52235.108140857577</v>
      </c>
      <c r="F21" s="6">
        <f t="shared" si="1"/>
        <v>3.3292499999999885E-2</v>
      </c>
      <c r="G21" s="6"/>
      <c r="H21" s="1">
        <v>17</v>
      </c>
      <c r="I21" s="7">
        <f t="shared" si="5"/>
        <v>3.3292499999999947E-2</v>
      </c>
      <c r="K21" s="1">
        <v>17</v>
      </c>
      <c r="L21" s="7">
        <f t="shared" si="6"/>
        <v>1.1999999999999993E-2</v>
      </c>
    </row>
    <row r="22" spans="1:39" x14ac:dyDescent="0.3">
      <c r="A22" s="1">
        <v>18</v>
      </c>
      <c r="B22" s="1">
        <f t="shared" si="2"/>
        <v>2005</v>
      </c>
      <c r="C22" s="4">
        <f t="shared" si="3"/>
        <v>51139.770464795838</v>
      </c>
      <c r="D22" s="10">
        <f t="shared" si="4"/>
        <v>1.1625000000000017E-2</v>
      </c>
      <c r="E22" s="4">
        <f t="shared" si="0"/>
        <v>52819.456225712056</v>
      </c>
      <c r="F22" s="6">
        <f t="shared" si="1"/>
        <v>3.2844999999999971E-2</v>
      </c>
      <c r="G22" s="6"/>
      <c r="H22" s="1">
        <v>18</v>
      </c>
      <c r="I22" s="7">
        <f t="shared" si="5"/>
        <v>3.2844999999999944E-2</v>
      </c>
      <c r="K22" s="1">
        <v>18</v>
      </c>
      <c r="L22" s="7">
        <f t="shared" si="6"/>
        <v>1.1624999999999993E-2</v>
      </c>
    </row>
    <row r="23" spans="1:39" x14ac:dyDescent="0.3">
      <c r="A23" s="1">
        <v>19</v>
      </c>
      <c r="B23" s="1">
        <f t="shared" si="2"/>
        <v>2004</v>
      </c>
      <c r="C23" s="4">
        <f t="shared" si="3"/>
        <v>51715.09288252479</v>
      </c>
      <c r="D23" s="10">
        <f t="shared" si="4"/>
        <v>1.1249999999999979E-2</v>
      </c>
      <c r="E23" s="4">
        <f t="shared" si="0"/>
        <v>53390.532604186381</v>
      </c>
      <c r="F23" s="6">
        <f t="shared" si="1"/>
        <v>3.2397499999999878E-2</v>
      </c>
      <c r="G23" s="6"/>
      <c r="H23" s="1">
        <v>19</v>
      </c>
      <c r="I23" s="7">
        <f t="shared" si="5"/>
        <v>3.239749999999994E-2</v>
      </c>
      <c r="K23" s="1">
        <v>19</v>
      </c>
      <c r="L23" s="7">
        <f t="shared" si="6"/>
        <v>1.1249999999999993E-2</v>
      </c>
    </row>
    <row r="24" spans="1:39" s="22" customFormat="1" x14ac:dyDescent="0.3">
      <c r="A24" s="22">
        <v>20</v>
      </c>
      <c r="B24" s="22">
        <f t="shared" si="2"/>
        <v>2003</v>
      </c>
      <c r="C24" s="23">
        <f t="shared" si="3"/>
        <v>52277.494517622246</v>
      </c>
      <c r="D24" s="24">
        <f t="shared" si="4"/>
        <v>1.0874999999999982E-2</v>
      </c>
      <c r="E24" s="23">
        <f t="shared" si="0"/>
        <v>53947.760467460277</v>
      </c>
      <c r="F24" s="25">
        <f t="shared" si="1"/>
        <v>3.1949999999999999E-2</v>
      </c>
      <c r="G24" s="25"/>
      <c r="H24" s="22">
        <v>20</v>
      </c>
      <c r="I24" s="28">
        <f t="shared" si="5"/>
        <v>3.1949999999999937E-2</v>
      </c>
      <c r="K24" s="22">
        <v>20</v>
      </c>
      <c r="L24" s="28">
        <f t="shared" si="6"/>
        <v>1.0874999999999992E-2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3">
      <c r="A25" s="1">
        <v>21</v>
      </c>
      <c r="B25" s="14">
        <f t="shared" si="2"/>
        <v>2002</v>
      </c>
      <c r="C25" s="4">
        <f t="shared" si="3"/>
        <v>52826.408210057278</v>
      </c>
      <c r="D25" s="10">
        <f t="shared" si="4"/>
        <v>1.0499999999999959E-2</v>
      </c>
      <c r="E25" s="4">
        <f t="shared" si="0"/>
        <v>54490.572134694601</v>
      </c>
      <c r="F25" s="6">
        <f t="shared" si="1"/>
        <v>3.1502499999999885E-2</v>
      </c>
      <c r="G25" s="6"/>
      <c r="H25" s="1">
        <v>21</v>
      </c>
      <c r="I25" s="7">
        <f t="shared" si="5"/>
        <v>3.1502499999999933E-2</v>
      </c>
      <c r="K25" s="1">
        <v>21</v>
      </c>
      <c r="L25" s="7">
        <f t="shared" si="6"/>
        <v>1.0499999999999992E-2</v>
      </c>
    </row>
    <row r="26" spans="1:39" x14ac:dyDescent="0.3">
      <c r="A26" s="1">
        <v>22</v>
      </c>
      <c r="B26" s="1">
        <f t="shared" si="2"/>
        <v>2001</v>
      </c>
      <c r="C26" s="4">
        <f t="shared" si="3"/>
        <v>53361.275593184109</v>
      </c>
      <c r="D26" s="10">
        <f t="shared" si="4"/>
        <v>1.012500000000003E-2</v>
      </c>
      <c r="E26" s="4">
        <f t="shared" si="0"/>
        <v>55018.410006730439</v>
      </c>
      <c r="F26" s="6">
        <f t="shared" si="1"/>
        <v>3.1054999999999944E-2</v>
      </c>
      <c r="G26" s="6"/>
      <c r="H26" s="1">
        <v>22</v>
      </c>
      <c r="I26" s="7">
        <f t="shared" si="5"/>
        <v>3.1054999999999933E-2</v>
      </c>
      <c r="K26" s="1">
        <v>22</v>
      </c>
      <c r="L26" s="7">
        <f t="shared" si="6"/>
        <v>1.0124999999999992E-2</v>
      </c>
    </row>
    <row r="27" spans="1:39" x14ac:dyDescent="0.3">
      <c r="A27" s="1">
        <v>23</v>
      </c>
      <c r="B27" s="1">
        <f t="shared" si="2"/>
        <v>2000</v>
      </c>
      <c r="C27" s="4">
        <f t="shared" si="3"/>
        <v>53881.548030217651</v>
      </c>
      <c r="D27" s="10">
        <f t="shared" si="4"/>
        <v>9.7499999999999393E-3</v>
      </c>
      <c r="E27" s="4">
        <f t="shared" si="0"/>
        <v>55530.727511552534</v>
      </c>
      <c r="F27" s="6">
        <f t="shared" si="1"/>
        <v>3.0607499999999919E-2</v>
      </c>
      <c r="G27" s="6"/>
      <c r="H27" s="1">
        <v>23</v>
      </c>
      <c r="I27" s="7">
        <f t="shared" si="5"/>
        <v>3.0607499999999933E-2</v>
      </c>
      <c r="K27" s="1">
        <v>23</v>
      </c>
      <c r="L27" s="7">
        <f t="shared" si="6"/>
        <v>9.7499999999999913E-3</v>
      </c>
    </row>
    <row r="28" spans="1:39" x14ac:dyDescent="0.3">
      <c r="A28" s="1">
        <v>24</v>
      </c>
      <c r="B28" s="1">
        <f t="shared" si="2"/>
        <v>1999</v>
      </c>
      <c r="C28" s="4">
        <f t="shared" si="3"/>
        <v>54386.687543000939</v>
      </c>
      <c r="D28" s="10">
        <f t="shared" si="4"/>
        <v>9.3749999999999441E-3</v>
      </c>
      <c r="E28" s="4">
        <f t="shared" si="0"/>
        <v>56026.990039297845</v>
      </c>
      <c r="F28" s="6">
        <f t="shared" si="1"/>
        <v>3.0159999999999968E-2</v>
      </c>
      <c r="G28" s="6"/>
      <c r="H28" s="1">
        <v>24</v>
      </c>
      <c r="I28" s="7">
        <f t="shared" si="5"/>
        <v>3.0159999999999933E-2</v>
      </c>
      <c r="K28" s="1">
        <v>24</v>
      </c>
      <c r="L28" s="7">
        <f t="shared" si="6"/>
        <v>9.374999999999991E-3</v>
      </c>
    </row>
    <row r="29" spans="1:39" s="22" customFormat="1" x14ac:dyDescent="0.3">
      <c r="A29" s="22">
        <v>25</v>
      </c>
      <c r="B29" s="22">
        <f t="shared" si="2"/>
        <v>1998</v>
      </c>
      <c r="C29" s="23">
        <f t="shared" si="3"/>
        <v>54876.167730887944</v>
      </c>
      <c r="D29" s="24">
        <f t="shared" si="4"/>
        <v>8.9999999999999507E-3</v>
      </c>
      <c r="E29" s="23">
        <f t="shared" si="0"/>
        <v>56506.675864591947</v>
      </c>
      <c r="F29" s="25">
        <f t="shared" si="1"/>
        <v>2.9712499999999906E-2</v>
      </c>
      <c r="G29" s="25"/>
      <c r="H29" s="22">
        <v>25</v>
      </c>
      <c r="I29" s="28">
        <f t="shared" si="5"/>
        <v>2.9712499999999933E-2</v>
      </c>
      <c r="K29" s="22">
        <v>25</v>
      </c>
      <c r="L29" s="28">
        <f t="shared" si="6"/>
        <v>8.9999999999999906E-3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3">
      <c r="A30" s="1">
        <v>26</v>
      </c>
      <c r="B30" s="14">
        <f t="shared" si="2"/>
        <v>1997</v>
      </c>
      <c r="C30" s="4">
        <f t="shared" si="3"/>
        <v>55349.474677566854</v>
      </c>
      <c r="D30" s="10">
        <f t="shared" si="4"/>
        <v>8.6250000000000146E-3</v>
      </c>
      <c r="E30" s="4">
        <f t="shared" si="0"/>
        <v>56969.277054005841</v>
      </c>
      <c r="F30" s="6">
        <f t="shared" si="1"/>
        <v>2.9264999999999878E-2</v>
      </c>
      <c r="G30" s="6"/>
      <c r="H30" s="1">
        <v>26</v>
      </c>
      <c r="I30" s="7">
        <f t="shared" si="5"/>
        <v>2.9264999999999933E-2</v>
      </c>
      <c r="K30" s="1">
        <v>26</v>
      </c>
      <c r="L30" s="7">
        <f t="shared" si="6"/>
        <v>8.6249999999999903E-3</v>
      </c>
    </row>
    <row r="31" spans="1:39" x14ac:dyDescent="0.3">
      <c r="A31" s="1">
        <v>27</v>
      </c>
      <c r="B31" s="1">
        <f t="shared" si="2"/>
        <v>1996</v>
      </c>
      <c r="C31" s="4">
        <f t="shared" si="3"/>
        <v>55806.107843656777</v>
      </c>
      <c r="D31" s="10">
        <f t="shared" si="4"/>
        <v>8.2499999999999397E-3</v>
      </c>
      <c r="E31" s="4">
        <f t="shared" si="0"/>
        <v>57414.300356441352</v>
      </c>
      <c r="F31" s="6">
        <f t="shared" si="1"/>
        <v>2.881749999999993E-2</v>
      </c>
      <c r="G31" s="6"/>
      <c r="H31" s="1">
        <v>27</v>
      </c>
      <c r="I31" s="7">
        <f t="shared" si="5"/>
        <v>2.8817499999999933E-2</v>
      </c>
      <c r="K31" s="1">
        <v>27</v>
      </c>
      <c r="L31" s="7">
        <f t="shared" si="6"/>
        <v>8.24999999999999E-3</v>
      </c>
    </row>
    <row r="32" spans="1:39" x14ac:dyDescent="0.3">
      <c r="A32" s="1">
        <v>28</v>
      </c>
      <c r="B32" s="1">
        <f t="shared" si="2"/>
        <v>1995</v>
      </c>
      <c r="C32" s="4">
        <f t="shared" si="3"/>
        <v>56245.580942925575</v>
      </c>
      <c r="D32" s="10">
        <f t="shared" si="4"/>
        <v>7.8750000000000209E-3</v>
      </c>
      <c r="E32" s="4">
        <f t="shared" si="0"/>
        <v>57841.26807427637</v>
      </c>
      <c r="F32" s="6">
        <f t="shared" si="1"/>
        <v>2.8369999999999927E-2</v>
      </c>
      <c r="G32" s="6"/>
      <c r="H32" s="1">
        <v>28</v>
      </c>
      <c r="I32" s="7">
        <f t="shared" si="5"/>
        <v>2.8369999999999933E-2</v>
      </c>
      <c r="K32" s="1">
        <v>28</v>
      </c>
      <c r="L32" s="7">
        <f t="shared" si="6"/>
        <v>7.8749999999999896E-3</v>
      </c>
    </row>
    <row r="33" spans="1:39" x14ac:dyDescent="0.3">
      <c r="A33" s="1">
        <v>29</v>
      </c>
      <c r="B33" s="1">
        <f t="shared" si="2"/>
        <v>1994</v>
      </c>
      <c r="C33" s="4">
        <f t="shared" si="3"/>
        <v>56667.422799997519</v>
      </c>
      <c r="D33" s="10">
        <f t="shared" si="4"/>
        <v>7.5000000000000405E-3</v>
      </c>
      <c r="E33" s="4">
        <f t="shared" si="0"/>
        <v>58249.718913130448</v>
      </c>
      <c r="F33" s="6">
        <f t="shared" si="1"/>
        <v>2.7922499999999961E-2</v>
      </c>
      <c r="G33" s="6"/>
      <c r="H33" s="1">
        <v>29</v>
      </c>
      <c r="I33" s="7">
        <f t="shared" si="5"/>
        <v>2.7922499999999933E-2</v>
      </c>
      <c r="K33" s="1">
        <v>29</v>
      </c>
      <c r="L33" s="7">
        <f t="shared" si="6"/>
        <v>7.4999999999999893E-3</v>
      </c>
    </row>
    <row r="34" spans="1:39" s="22" customFormat="1" x14ac:dyDescent="0.3">
      <c r="A34" s="22">
        <v>30</v>
      </c>
      <c r="B34" s="22">
        <f t="shared" si="2"/>
        <v>1993</v>
      </c>
      <c r="C34" s="23">
        <f t="shared" si="3"/>
        <v>57071.178187447498</v>
      </c>
      <c r="D34" s="24">
        <f t="shared" si="4"/>
        <v>7.1249999999999421E-3</v>
      </c>
      <c r="E34" s="23">
        <f t="shared" si="0"/>
        <v>58639.208808147618</v>
      </c>
      <c r="F34" s="25">
        <f t="shared" si="1"/>
        <v>2.7474999999999989E-2</v>
      </c>
      <c r="G34" s="25"/>
      <c r="H34" s="22">
        <v>30</v>
      </c>
      <c r="I34" s="28">
        <f t="shared" si="5"/>
        <v>2.7474999999999934E-2</v>
      </c>
      <c r="K34" s="22">
        <v>30</v>
      </c>
      <c r="L34" s="28">
        <f t="shared" si="6"/>
        <v>7.124999999999989E-3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3">
      <c r="A35" s="1">
        <v>31</v>
      </c>
      <c r="B35" s="14">
        <f t="shared" si="2"/>
        <v>1992</v>
      </c>
      <c r="C35" s="4">
        <f t="shared" si="3"/>
        <v>57456.408640212765</v>
      </c>
      <c r="D35" s="10">
        <f t="shared" si="4"/>
        <v>6.7499999999999331E-3</v>
      </c>
      <c r="E35" s="4">
        <f t="shared" si="0"/>
        <v>59009.311724736115</v>
      </c>
      <c r="F35" s="6">
        <f t="shared" si="1"/>
        <v>2.7027499999999993E-2</v>
      </c>
      <c r="G35" s="6"/>
      <c r="H35" s="1">
        <v>31</v>
      </c>
      <c r="I35" s="7">
        <f t="shared" si="5"/>
        <v>2.7027499999999934E-2</v>
      </c>
      <c r="K35" s="1">
        <v>31</v>
      </c>
      <c r="L35" s="7">
        <f t="shared" si="6"/>
        <v>6.7499999999999886E-3</v>
      </c>
    </row>
    <row r="36" spans="1:39" x14ac:dyDescent="0.3">
      <c r="A36" s="1">
        <v>32</v>
      </c>
      <c r="B36" s="1">
        <f t="shared" si="2"/>
        <v>1991</v>
      </c>
      <c r="C36" s="4">
        <f t="shared" si="3"/>
        <v>57822.693245294118</v>
      </c>
      <c r="D36" s="10">
        <f t="shared" si="4"/>
        <v>6.3749999999999449E-3</v>
      </c>
      <c r="E36" s="4">
        <f t="shared" si="0"/>
        <v>59359.620431754032</v>
      </c>
      <c r="F36" s="6">
        <f t="shared" si="1"/>
        <v>2.6579999999999937E-2</v>
      </c>
      <c r="G36" s="6"/>
      <c r="H36" s="1">
        <v>32</v>
      </c>
      <c r="I36" s="7">
        <f t="shared" si="5"/>
        <v>2.6579999999999934E-2</v>
      </c>
      <c r="K36" s="1">
        <v>32</v>
      </c>
      <c r="L36" s="7">
        <f t="shared" si="6"/>
        <v>6.3749999999999883E-3</v>
      </c>
    </row>
    <row r="37" spans="1:39" x14ac:dyDescent="0.3">
      <c r="A37" s="1">
        <v>33</v>
      </c>
      <c r="B37" s="1">
        <f t="shared" si="2"/>
        <v>1990</v>
      </c>
      <c r="C37" s="4">
        <f t="shared" si="3"/>
        <v>58169.629404765881</v>
      </c>
      <c r="D37" s="10">
        <f t="shared" si="4"/>
        <v>5.9999999999999698E-3</v>
      </c>
      <c r="E37" s="4">
        <f t="shared" si="0"/>
        <v>59689.747245185921</v>
      </c>
      <c r="F37" s="6">
        <f t="shared" si="1"/>
        <v>2.6132499999999923E-2</v>
      </c>
      <c r="G37" s="6"/>
      <c r="H37" s="1">
        <v>33</v>
      </c>
      <c r="I37" s="7">
        <f t="shared" si="5"/>
        <v>2.6132499999999934E-2</v>
      </c>
      <c r="K37" s="1">
        <v>33</v>
      </c>
      <c r="L37" s="7">
        <f t="shared" si="6"/>
        <v>5.999999999999988E-3</v>
      </c>
    </row>
    <row r="38" spans="1:39" x14ac:dyDescent="0.3">
      <c r="A38" s="1">
        <v>34</v>
      </c>
      <c r="B38" s="1">
        <f t="shared" si="2"/>
        <v>1989</v>
      </c>
      <c r="C38" s="4">
        <f t="shared" si="3"/>
        <v>58496.833570167692</v>
      </c>
      <c r="D38" s="10">
        <f t="shared" si="4"/>
        <v>5.625000000000038E-3</v>
      </c>
      <c r="E38" s="4">
        <f t="shared" si="0"/>
        <v>59999.324740417447</v>
      </c>
      <c r="F38" s="6">
        <f t="shared" si="1"/>
        <v>2.5684999999999975E-2</v>
      </c>
      <c r="G38" s="6"/>
      <c r="H38" s="1">
        <v>34</v>
      </c>
      <c r="I38" s="7">
        <f t="shared" si="5"/>
        <v>2.5684999999999934E-2</v>
      </c>
      <c r="K38" s="1">
        <v>34</v>
      </c>
      <c r="L38" s="7">
        <f t="shared" si="6"/>
        <v>5.6249999999999876E-3</v>
      </c>
    </row>
    <row r="39" spans="1:39" s="22" customFormat="1" x14ac:dyDescent="0.3">
      <c r="A39" s="22">
        <v>35</v>
      </c>
      <c r="B39" s="22">
        <f t="shared" si="2"/>
        <v>1988</v>
      </c>
      <c r="C39" s="23">
        <f t="shared" si="3"/>
        <v>58803.941946411069</v>
      </c>
      <c r="D39" s="24">
        <f t="shared" si="4"/>
        <v>5.2499999999999465E-3</v>
      </c>
      <c r="E39" s="23">
        <f t="shared" si="0"/>
        <v>60288.006431283611</v>
      </c>
      <c r="F39" s="25">
        <f t="shared" si="1"/>
        <v>2.5237499999999882E-2</v>
      </c>
      <c r="G39" s="25"/>
      <c r="H39" s="22">
        <v>35</v>
      </c>
      <c r="I39" s="28">
        <f t="shared" si="5"/>
        <v>2.5237499999999934E-2</v>
      </c>
      <c r="K39" s="22">
        <v>35</v>
      </c>
      <c r="L39" s="28">
        <f t="shared" si="6"/>
        <v>5.2499999999999873E-3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3">
      <c r="A40" s="1">
        <v>36</v>
      </c>
      <c r="B40" s="14">
        <f t="shared" si="2"/>
        <v>1987</v>
      </c>
      <c r="C40" s="4">
        <f t="shared" si="3"/>
        <v>59090.611163399823</v>
      </c>
      <c r="D40" s="10">
        <f t="shared" si="4"/>
        <v>4.8749999999999965E-3</v>
      </c>
      <c r="E40" s="4">
        <f t="shared" si="0"/>
        <v>60555.467414140498</v>
      </c>
      <c r="F40" s="6">
        <f t="shared" si="1"/>
        <v>2.4789999999999889E-2</v>
      </c>
      <c r="G40" s="6"/>
      <c r="H40" s="1">
        <v>36</v>
      </c>
      <c r="I40" s="7">
        <f t="shared" si="5"/>
        <v>2.4789999999999934E-2</v>
      </c>
      <c r="K40" s="1">
        <v>36</v>
      </c>
      <c r="L40" s="7">
        <f t="shared" si="6"/>
        <v>4.874999999999987E-3</v>
      </c>
    </row>
    <row r="41" spans="1:39" x14ac:dyDescent="0.3">
      <c r="A41" s="1">
        <v>37</v>
      </c>
      <c r="B41" s="1">
        <f t="shared" si="2"/>
        <v>1986</v>
      </c>
      <c r="C41" s="4">
        <f t="shared" si="3"/>
        <v>59356.518913635118</v>
      </c>
      <c r="D41" s="10">
        <f t="shared" si="4"/>
        <v>4.4999999999999407E-3</v>
      </c>
      <c r="E41" s="4">
        <f t="shared" si="0"/>
        <v>60801.404975290279</v>
      </c>
      <c r="F41" s="6">
        <f t="shared" si="1"/>
        <v>2.4342499999999968E-2</v>
      </c>
      <c r="G41" s="6"/>
      <c r="H41" s="1">
        <v>37</v>
      </c>
      <c r="I41" s="7">
        <f t="shared" si="5"/>
        <v>2.4342499999999934E-2</v>
      </c>
      <c r="K41" s="1">
        <v>37</v>
      </c>
      <c r="L41" s="7">
        <f t="shared" si="6"/>
        <v>4.4999999999999866E-3</v>
      </c>
    </row>
    <row r="42" spans="1:39" x14ac:dyDescent="0.3">
      <c r="A42" s="1">
        <v>38</v>
      </c>
      <c r="B42" s="1">
        <f t="shared" si="2"/>
        <v>1985</v>
      </c>
      <c r="C42" s="4">
        <f t="shared" si="3"/>
        <v>59601.364554153864</v>
      </c>
      <c r="D42" s="10">
        <f t="shared" si="4"/>
        <v>4.1250000000000227E-3</v>
      </c>
      <c r="E42" s="4">
        <f t="shared" si="0"/>
        <v>61025.539160175365</v>
      </c>
      <c r="F42" s="6">
        <f t="shared" si="1"/>
        <v>2.3894999999999906E-2</v>
      </c>
      <c r="G42" s="6"/>
      <c r="H42" s="1">
        <v>38</v>
      </c>
      <c r="I42" s="7">
        <f t="shared" si="5"/>
        <v>2.3894999999999934E-2</v>
      </c>
      <c r="K42" s="1">
        <v>38</v>
      </c>
      <c r="L42" s="7">
        <f t="shared" si="6"/>
        <v>4.1249999999999863E-3</v>
      </c>
    </row>
    <row r="43" spans="1:39" x14ac:dyDescent="0.3">
      <c r="A43" s="1">
        <v>39</v>
      </c>
      <c r="B43" s="1">
        <f t="shared" si="2"/>
        <v>1984</v>
      </c>
      <c r="C43" s="4">
        <f t="shared" si="3"/>
        <v>59824.869671231943</v>
      </c>
      <c r="D43" s="10">
        <f t="shared" si="4"/>
        <v>3.7500000000000324E-3</v>
      </c>
      <c r="E43" s="4">
        <f t="shared" si="0"/>
        <v>61227.613302848149</v>
      </c>
      <c r="F43" s="6">
        <f t="shared" si="1"/>
        <v>2.3447499999999913E-2</v>
      </c>
      <c r="G43" s="6"/>
      <c r="H43" s="1">
        <v>39</v>
      </c>
      <c r="I43" s="7">
        <f t="shared" si="5"/>
        <v>2.3447499999999934E-2</v>
      </c>
      <c r="K43" s="1">
        <v>39</v>
      </c>
      <c r="L43" s="7">
        <f t="shared" si="6"/>
        <v>3.7499999999999864E-3</v>
      </c>
    </row>
    <row r="44" spans="1:39" s="22" customFormat="1" x14ac:dyDescent="0.3">
      <c r="A44" s="22">
        <v>40</v>
      </c>
      <c r="B44" s="22">
        <f t="shared" si="2"/>
        <v>1983</v>
      </c>
      <c r="C44" s="23">
        <f t="shared" si="3"/>
        <v>60026.778606372347</v>
      </c>
      <c r="D44" s="24">
        <f t="shared" si="4"/>
        <v>3.3749999999999301E-3</v>
      </c>
      <c r="E44" s="23">
        <f t="shared" si="0"/>
        <v>61407.394514318905</v>
      </c>
      <c r="F44" s="25">
        <f t="shared" si="1"/>
        <v>2.2999999999999899E-2</v>
      </c>
      <c r="G44" s="25"/>
      <c r="H44" s="22">
        <v>40</v>
      </c>
      <c r="I44" s="28">
        <f t="shared" si="5"/>
        <v>2.2999999999999934E-2</v>
      </c>
      <c r="K44" s="22">
        <v>40</v>
      </c>
      <c r="L44" s="28">
        <f t="shared" si="6"/>
        <v>3.3749999999999865E-3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21" customHeight="1" x14ac:dyDescent="0.3">
      <c r="A45" s="425" t="s">
        <v>87</v>
      </c>
      <c r="B45" s="424" t="s">
        <v>88</v>
      </c>
      <c r="C45" s="423" t="s">
        <v>89</v>
      </c>
      <c r="D45" s="423"/>
      <c r="E45" s="423"/>
      <c r="L45" s="7"/>
    </row>
    <row r="46" spans="1:39" ht="14.15" customHeight="1" x14ac:dyDescent="0.3">
      <c r="A46" s="425"/>
      <c r="B46" s="424"/>
      <c r="C46" s="423"/>
      <c r="D46" s="423"/>
      <c r="E46" s="423"/>
    </row>
  </sheetData>
  <sheetProtection algorithmName="SHA-512" hashValue="CznUlm0so/UiyBzfCgSBbCr17Zbwm7lg2+PdqNBFLBc52vq0YlssRWgCZQROmR0Yv8PhdEr4qN1/YOMUCpmjmg==" saltValue="VpbrfmGxpclEXNxeaOp4yw==" spinCount="100000" sheet="1" objects="1" scenarios="1"/>
  <mergeCells count="6">
    <mergeCell ref="A1:N1"/>
    <mergeCell ref="C45:E46"/>
    <mergeCell ref="B45:B46"/>
    <mergeCell ref="A45:A46"/>
    <mergeCell ref="A2:B2"/>
    <mergeCell ref="E2:J2"/>
  </mergeCells>
  <pageMargins left="0.7" right="0.7" top="0.75" bottom="0.75" header="0.3" footer="0.3"/>
  <pageSetup scale="81" orientation="portrait" r:id="rId1"/>
  <headerFooter>
    <oddHeader xml:space="preserve">&amp;CSalary Guideline Proposal 
Ministers of Word and Sacrament and Ministers of Word and Service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9C8597577C6499D8E9DCE39CB62ED" ma:contentTypeVersion="15" ma:contentTypeDescription="Create a new document." ma:contentTypeScope="" ma:versionID="26ae33d3944fce55dcde020980a538f7">
  <xsd:schema xmlns:xsd="http://www.w3.org/2001/XMLSchema" xmlns:xs="http://www.w3.org/2001/XMLSchema" xmlns:p="http://schemas.microsoft.com/office/2006/metadata/properties" xmlns:ns3="99e0e4f8-7818-45dd-85c2-6cd60f92ff05" xmlns:ns4="586be433-d661-4ae2-92e4-1deceefa57a0" targetNamespace="http://schemas.microsoft.com/office/2006/metadata/properties" ma:root="true" ma:fieldsID="a4db2f3ab27c2e9f86545f18f9f299d7" ns3:_="" ns4:_="">
    <xsd:import namespace="99e0e4f8-7818-45dd-85c2-6cd60f92ff05"/>
    <xsd:import namespace="586be433-d661-4ae2-92e4-1deceefa57a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0e4f8-7818-45dd-85c2-6cd60f92ff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be433-d661-4ae2-92e4-1deceefa57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6be433-d661-4ae2-92e4-1deceefa57a0" xsi:nil="true"/>
  </documentManagement>
</p:properties>
</file>

<file path=customXml/itemProps1.xml><?xml version="1.0" encoding="utf-8"?>
<ds:datastoreItem xmlns:ds="http://schemas.openxmlformats.org/officeDocument/2006/customXml" ds:itemID="{31D8A07B-11D0-43C8-8148-45B475E0B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e0e4f8-7818-45dd-85c2-6cd60f92ff05"/>
    <ds:schemaRef ds:uri="586be433-d661-4ae2-92e4-1deceefa57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C27C27-7010-4597-A1C6-1D8064E0D1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743004-DF13-4F92-AF5B-0A4C26CE9093}">
  <ds:schemaRefs>
    <ds:schemaRef ds:uri="http://schemas.microsoft.com/office/2006/metadata/properties"/>
    <ds:schemaRef ds:uri="http://schemas.microsoft.com/office/infopath/2007/PartnerControls"/>
    <ds:schemaRef ds:uri="586be433-d661-4ae2-92e4-1deceefa57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Directions</vt:lpstr>
      <vt:lpstr>Worksheet - NO Parsonage</vt:lpstr>
      <vt:lpstr>Example NO Parsonage </vt:lpstr>
      <vt:lpstr>Reverse Calculator</vt:lpstr>
      <vt:lpstr>2027 Minister Salary Table</vt:lpstr>
      <vt:lpstr>2026 Minister Salary Table</vt:lpstr>
      <vt:lpstr>2025 Minister Salary Table</vt:lpstr>
      <vt:lpstr>2024 Minister Salary Table</vt:lpstr>
      <vt:lpstr>2023 Minister Salary Table</vt:lpstr>
      <vt:lpstr>'2023 Minister Salary Table'!Print_Area</vt:lpstr>
      <vt:lpstr>'2024 Minister Salary Table'!Print_Area</vt:lpstr>
      <vt:lpstr>'2025 Minister Salary Table'!Print_Area</vt:lpstr>
      <vt:lpstr>'2026 Minister Salary Table'!Print_Area</vt:lpstr>
      <vt:lpstr>'2027 Minister Salary Table'!Print_Area</vt:lpstr>
      <vt:lpstr>'Example NO Parsonage '!Print_Area</vt:lpstr>
      <vt:lpstr>'Reverse Calculator'!Print_Area</vt:lpstr>
      <vt:lpstr>'Worksheet - NO Parsonage'!Print_Area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NorSwiss Dairy</dc:creator>
  <cp:keywords/>
  <dc:description/>
  <cp:lastModifiedBy>Annelies Seffrood</cp:lastModifiedBy>
  <cp:revision/>
  <cp:lastPrinted>2025-09-09T15:24:00Z</cp:lastPrinted>
  <dcterms:created xsi:type="dcterms:W3CDTF">2022-09-07T15:34:05Z</dcterms:created>
  <dcterms:modified xsi:type="dcterms:W3CDTF">2026-09-01T14:19:52Z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0x0101001929C8597577C6499D8E9DCE39CB62ED</vt:lpwstr>
  </property>
</Properties>
</file>