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norswissdairy-my.sharepoint.com/personal/annelies_norswissdairy_onmicrosoft_com/Documents/Anne Synod Compensation Committee/2026 Synod Guidelines/2026 Adopted Documents/"/>
    </mc:Choice>
  </mc:AlternateContent>
  <xr:revisionPtr revIDLastSave="64" documentId="8_{AD123C37-AF30-43CB-83E7-AFCAF0FB295A}" xr6:coauthVersionLast="47" xr6:coauthVersionMax="47" xr10:uidLastSave="{4BF53753-1DCA-4A02-93D4-3FC58219600B}"/>
  <bookViews>
    <workbookView xWindow="-110" yWindow="-110" windowWidth="25820" windowHeight="15500" activeTab="1" xr2:uid="{1CC6F0CD-F358-42D8-A0F5-EB5FED1AEF73}"/>
  </bookViews>
  <sheets>
    <sheet name="Reverse Calculator (2)" sheetId="5" r:id="rId1"/>
    <sheet name="Reverse Calculator" sheetId="1" r:id="rId2"/>
    <sheet name="2026 Minister Salary Table" sheetId="4" r:id="rId3"/>
    <sheet name="2025 Minister Salary Table" sheetId="2" r:id="rId4"/>
  </sheets>
  <externalReferences>
    <externalReference r:id="rId5"/>
  </externalReferences>
  <definedNames>
    <definedName name="_xlnm.Print_Area" localSheetId="3">'2025 Minister Salary Table'!$A:$H</definedName>
    <definedName name="_xlnm.Print_Area" localSheetId="1">'Reverse Calculator'!$A$1:$U$44</definedName>
    <definedName name="_xlnm.Print_Area" localSheetId="0">'Reverse Calculator (2)'!$A$1:$U$44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37" i="5" l="1"/>
  <c r="D37" i="5"/>
  <c r="R27" i="5"/>
  <c r="F27" i="5"/>
  <c r="R17" i="5"/>
  <c r="T11" i="5"/>
  <c r="H11" i="5"/>
  <c r="V9" i="5"/>
  <c r="R9" i="5"/>
  <c r="F9" i="5"/>
  <c r="R37" i="1" l="1"/>
  <c r="F37" i="1"/>
  <c r="E4" i="4"/>
  <c r="B5" i="4"/>
  <c r="B6" i="4" s="1"/>
  <c r="B7" i="4" s="1"/>
  <c r="B8" i="4" s="1"/>
  <c r="B9" i="4" s="1"/>
  <c r="B10" i="4" s="1"/>
  <c r="B11" i="4" s="1"/>
  <c r="B12" i="4" s="1"/>
  <c r="B13" i="4" s="1"/>
  <c r="B14" i="4" s="1"/>
  <c r="B15" i="4" s="1"/>
  <c r="B16" i="4" s="1"/>
  <c r="B17" i="4" s="1"/>
  <c r="B18" i="4" s="1"/>
  <c r="B19" i="4" s="1"/>
  <c r="B20" i="4" s="1"/>
  <c r="B21" i="4" s="1"/>
  <c r="B22" i="4" s="1"/>
  <c r="B23" i="4" s="1"/>
  <c r="B24" i="4" s="1"/>
  <c r="B25" i="4" s="1"/>
  <c r="B26" i="4" s="1"/>
  <c r="B27" i="4" s="1"/>
  <c r="B28" i="4" s="1"/>
  <c r="B29" i="4" s="1"/>
  <c r="B30" i="4" s="1"/>
  <c r="B31" i="4" s="1"/>
  <c r="B32" i="4" s="1"/>
  <c r="B33" i="4" s="1"/>
  <c r="B34" i="4" s="1"/>
  <c r="B35" i="4" s="1"/>
  <c r="B36" i="4" s="1"/>
  <c r="B37" i="4" s="1"/>
  <c r="B38" i="4" s="1"/>
  <c r="B39" i="4" s="1"/>
  <c r="B40" i="4" s="1"/>
  <c r="B41" i="4" s="1"/>
  <c r="B42" i="4" s="1"/>
  <c r="B43" i="4" s="1"/>
  <c r="B44" i="4" s="1"/>
  <c r="C5" i="4" l="1"/>
  <c r="E5" i="4" l="1"/>
  <c r="C6" i="4"/>
  <c r="C7" i="4" l="1"/>
  <c r="E6" i="4"/>
  <c r="E7" i="4" l="1"/>
  <c r="C8" i="4"/>
  <c r="C9" i="4" l="1"/>
  <c r="E8" i="4"/>
  <c r="E9" i="4" l="1"/>
  <c r="C10" i="4"/>
  <c r="E10" i="4" l="1"/>
  <c r="C11" i="4"/>
  <c r="E11" i="4" l="1"/>
  <c r="C12" i="4"/>
  <c r="E12" i="4" l="1"/>
  <c r="C13" i="4"/>
  <c r="E13" i="4" l="1"/>
  <c r="C14" i="4"/>
  <c r="E14" i="4" l="1"/>
  <c r="C15" i="4"/>
  <c r="E15" i="4" l="1"/>
  <c r="C16" i="4"/>
  <c r="E16" i="4" l="1"/>
  <c r="C17" i="4"/>
  <c r="E17" i="4" l="1"/>
  <c r="C18" i="4"/>
  <c r="E18" i="4" l="1"/>
  <c r="C19" i="4"/>
  <c r="E19" i="4" l="1"/>
  <c r="C20" i="4"/>
  <c r="E20" i="4" l="1"/>
  <c r="C21" i="4"/>
  <c r="E21" i="4" l="1"/>
  <c r="C22" i="4"/>
  <c r="E22" i="4" l="1"/>
  <c r="C23" i="4"/>
  <c r="E23" i="4" l="1"/>
  <c r="C24" i="4"/>
  <c r="E24" i="4" l="1"/>
  <c r="C25" i="4"/>
  <c r="E25" i="4" l="1"/>
  <c r="C26" i="4"/>
  <c r="E26" i="4" l="1"/>
  <c r="C27" i="4"/>
  <c r="E27" i="4" l="1"/>
  <c r="C28" i="4"/>
  <c r="E28" i="4" l="1"/>
  <c r="C29" i="4"/>
  <c r="E29" i="4" l="1"/>
  <c r="C30" i="4"/>
  <c r="E30" i="4" l="1"/>
  <c r="C31" i="4"/>
  <c r="E31" i="4" l="1"/>
  <c r="C32" i="4"/>
  <c r="E32" i="4" l="1"/>
  <c r="C33" i="4"/>
  <c r="E33" i="4" l="1"/>
  <c r="C34" i="4"/>
  <c r="E34" i="4" l="1"/>
  <c r="C35" i="4"/>
  <c r="E35" i="4" l="1"/>
  <c r="C36" i="4"/>
  <c r="E36" i="4" l="1"/>
  <c r="C37" i="4"/>
  <c r="E37" i="4" l="1"/>
  <c r="C38" i="4"/>
  <c r="E38" i="4" l="1"/>
  <c r="C39" i="4"/>
  <c r="E39" i="4" l="1"/>
  <c r="C40" i="4"/>
  <c r="E40" i="4" l="1"/>
  <c r="C41" i="4"/>
  <c r="E41" i="4" l="1"/>
  <c r="C42" i="4"/>
  <c r="E42" i="4" l="1"/>
  <c r="C43" i="4"/>
  <c r="E43" i="4" l="1"/>
  <c r="C44" i="4"/>
  <c r="E44" i="4" l="1"/>
  <c r="R11" i="1" l="1"/>
  <c r="T11" i="1" s="1"/>
  <c r="H11" i="1"/>
  <c r="P37" i="1"/>
  <c r="D37" i="1"/>
  <c r="O5" i="2"/>
  <c r="N6" i="2" s="1"/>
  <c r="N7" i="2" s="1"/>
  <c r="N8" i="2" s="1"/>
  <c r="N9" i="2" s="1"/>
  <c r="N10" i="2" s="1"/>
  <c r="N11" i="2" s="1"/>
  <c r="N12" i="2" s="1"/>
  <c r="N13" i="2" s="1"/>
  <c r="N14" i="2" s="1"/>
  <c r="N15" i="2" s="1"/>
  <c r="N16" i="2" s="1"/>
  <c r="N17" i="2" s="1"/>
  <c r="N18" i="2" s="1"/>
  <c r="N19" i="2" s="1"/>
  <c r="N20" i="2" s="1"/>
  <c r="N21" i="2" s="1"/>
  <c r="N22" i="2" s="1"/>
  <c r="N23" i="2" s="1"/>
  <c r="N24" i="2" s="1"/>
  <c r="N25" i="2" s="1"/>
  <c r="N26" i="2" s="1"/>
  <c r="N27" i="2" s="1"/>
  <c r="N28" i="2" s="1"/>
  <c r="N29" i="2" s="1"/>
  <c r="N30" i="2" s="1"/>
  <c r="N31" i="2" s="1"/>
  <c r="N32" i="2" s="1"/>
  <c r="N33" i="2" s="1"/>
  <c r="N34" i="2" s="1"/>
  <c r="N35" i="2" s="1"/>
  <c r="N36" i="2" s="1"/>
  <c r="N37" i="2" s="1"/>
  <c r="N38" i="2" s="1"/>
  <c r="N39" i="2" s="1"/>
  <c r="N40" i="2" s="1"/>
  <c r="N41" i="2" s="1"/>
  <c r="N42" i="2" s="1"/>
  <c r="N43" i="2" s="1"/>
  <c r="N44" i="2" s="1"/>
  <c r="C5" i="2"/>
  <c r="B5" i="2"/>
  <c r="B6" i="2" s="1"/>
  <c r="B7" i="2" s="1"/>
  <c r="B8" i="2" s="1"/>
  <c r="B9" i="2" s="1"/>
  <c r="B10" i="2" s="1"/>
  <c r="B11" i="2" s="1"/>
  <c r="B12" i="2" s="1"/>
  <c r="B13" i="2" s="1"/>
  <c r="B14" i="2" s="1"/>
  <c r="B15" i="2" s="1"/>
  <c r="B16" i="2" s="1"/>
  <c r="B17" i="2" s="1"/>
  <c r="B18" i="2" s="1"/>
  <c r="B19" i="2" s="1"/>
  <c r="B20" i="2" s="1"/>
  <c r="B21" i="2" s="1"/>
  <c r="B22" i="2" s="1"/>
  <c r="B23" i="2" s="1"/>
  <c r="B24" i="2" s="1"/>
  <c r="B25" i="2" s="1"/>
  <c r="B26" i="2" s="1"/>
  <c r="B27" i="2" s="1"/>
  <c r="B28" i="2" s="1"/>
  <c r="B29" i="2" s="1"/>
  <c r="B30" i="2" s="1"/>
  <c r="B31" i="2" s="1"/>
  <c r="B32" i="2" s="1"/>
  <c r="B33" i="2" s="1"/>
  <c r="B34" i="2" s="1"/>
  <c r="B35" i="2" s="1"/>
  <c r="B36" i="2" s="1"/>
  <c r="B37" i="2" s="1"/>
  <c r="B38" i="2" s="1"/>
  <c r="B39" i="2" s="1"/>
  <c r="B40" i="2" s="1"/>
  <c r="B41" i="2" s="1"/>
  <c r="B42" i="2" s="1"/>
  <c r="B43" i="2" s="1"/>
  <c r="B44" i="2" s="1"/>
  <c r="L4" i="2"/>
  <c r="K5" i="2" s="1"/>
  <c r="K6" i="2" s="1"/>
  <c r="K7" i="2" s="1"/>
  <c r="K8" i="2" s="1"/>
  <c r="K9" i="2" s="1"/>
  <c r="K10" i="2" s="1"/>
  <c r="K11" i="2" s="1"/>
  <c r="K12" i="2" s="1"/>
  <c r="K13" i="2" s="1"/>
  <c r="K14" i="2" s="1"/>
  <c r="K15" i="2" s="1"/>
  <c r="K16" i="2" s="1"/>
  <c r="K17" i="2" s="1"/>
  <c r="K18" i="2" s="1"/>
  <c r="K19" i="2" s="1"/>
  <c r="K20" i="2" s="1"/>
  <c r="K21" i="2" s="1"/>
  <c r="K22" i="2" s="1"/>
  <c r="K23" i="2" s="1"/>
  <c r="K24" i="2" s="1"/>
  <c r="K25" i="2" s="1"/>
  <c r="K26" i="2" s="1"/>
  <c r="K27" i="2" s="1"/>
  <c r="K28" i="2" s="1"/>
  <c r="K29" i="2" s="1"/>
  <c r="K30" i="2" s="1"/>
  <c r="K31" i="2" s="1"/>
  <c r="K32" i="2" s="1"/>
  <c r="K33" i="2" s="1"/>
  <c r="K34" i="2" s="1"/>
  <c r="K35" i="2" s="1"/>
  <c r="K36" i="2" s="1"/>
  <c r="K37" i="2" s="1"/>
  <c r="K38" i="2" s="1"/>
  <c r="K39" i="2" s="1"/>
  <c r="K40" i="2" s="1"/>
  <c r="K41" i="2" s="1"/>
  <c r="K42" i="2" s="1"/>
  <c r="K43" i="2" s="1"/>
  <c r="K44" i="2" s="1"/>
  <c r="F4" i="2"/>
  <c r="E4" i="2"/>
  <c r="R27" i="1"/>
  <c r="F27" i="1"/>
  <c r="R17" i="1"/>
  <c r="V9" i="1"/>
  <c r="R9" i="1"/>
  <c r="F9" i="1"/>
  <c r="E5" i="2" l="1"/>
  <c r="G4" i="2"/>
  <c r="H4" i="2" s="1"/>
  <c r="C6" i="2"/>
  <c r="E6" i="2" l="1"/>
  <c r="C7" i="2"/>
  <c r="F5" i="2"/>
  <c r="G5" i="2" s="1"/>
  <c r="H5" i="2" l="1"/>
  <c r="E7" i="2"/>
  <c r="C8" i="2"/>
  <c r="F6" i="2"/>
  <c r="G6" i="2" s="1"/>
  <c r="H6" i="2" l="1"/>
  <c r="E8" i="2"/>
  <c r="C9" i="2"/>
  <c r="F7" i="2"/>
  <c r="H7" i="2" l="1"/>
  <c r="G7" i="2"/>
  <c r="P9" i="2"/>
  <c r="C10" i="2"/>
  <c r="E9" i="2"/>
  <c r="G8" i="2"/>
  <c r="F8" i="2"/>
  <c r="H8" i="2" s="1"/>
  <c r="F9" i="2" l="1"/>
  <c r="G9" i="2" s="1"/>
  <c r="C11" i="2"/>
  <c r="E10" i="2"/>
  <c r="F10" i="2" l="1"/>
  <c r="G10" i="2"/>
  <c r="H10" i="2" s="1"/>
  <c r="C12" i="2"/>
  <c r="E11" i="2"/>
  <c r="H9" i="2"/>
  <c r="F11" i="2" l="1"/>
  <c r="H11" i="2" s="1"/>
  <c r="G11" i="2"/>
  <c r="C13" i="2"/>
  <c r="E12" i="2"/>
  <c r="F12" i="2" l="1"/>
  <c r="E13" i="2"/>
  <c r="C14" i="2"/>
  <c r="F13" i="2" l="1"/>
  <c r="G13" i="2"/>
  <c r="H13" i="2" s="1"/>
  <c r="G12" i="2"/>
  <c r="H12" i="2" s="1"/>
  <c r="C15" i="2"/>
  <c r="E14" i="2"/>
  <c r="F14" i="2" l="1"/>
  <c r="G14" i="2"/>
  <c r="H14" i="2" s="1"/>
  <c r="C16" i="2"/>
  <c r="E15" i="2"/>
  <c r="F15" i="2" l="1"/>
  <c r="H15" i="2" s="1"/>
  <c r="G15" i="2"/>
  <c r="C17" i="2"/>
  <c r="E16" i="2"/>
  <c r="C18" i="2" l="1"/>
  <c r="E17" i="2"/>
  <c r="F16" i="2"/>
  <c r="G16" i="2" l="1"/>
  <c r="H16" i="2" s="1"/>
  <c r="F17" i="2"/>
  <c r="H17" i="2"/>
  <c r="G17" i="2"/>
  <c r="E18" i="2"/>
  <c r="C19" i="2"/>
  <c r="C20" i="2" l="1"/>
  <c r="E19" i="2"/>
  <c r="F18" i="2"/>
  <c r="H18" i="2" s="1"/>
  <c r="G18" i="2"/>
  <c r="F19" i="2" l="1"/>
  <c r="G19" i="2"/>
  <c r="H19" i="2" s="1"/>
  <c r="C21" i="2"/>
  <c r="E20" i="2"/>
  <c r="E21" i="2" l="1"/>
  <c r="C22" i="2"/>
  <c r="F20" i="2"/>
  <c r="G20" i="2" s="1"/>
  <c r="H20" i="2" l="1"/>
  <c r="C23" i="2"/>
  <c r="E22" i="2"/>
  <c r="F21" i="2"/>
  <c r="G21" i="2"/>
  <c r="H21" i="2" s="1"/>
  <c r="F22" i="2" l="1"/>
  <c r="C24" i="2"/>
  <c r="E23" i="2"/>
  <c r="F23" i="2" l="1"/>
  <c r="E24" i="2"/>
  <c r="C25" i="2"/>
  <c r="G22" i="2"/>
  <c r="H22" i="2" s="1"/>
  <c r="C26" i="2" l="1"/>
  <c r="E25" i="2"/>
  <c r="F24" i="2"/>
  <c r="H24" i="2" s="1"/>
  <c r="G24" i="2"/>
  <c r="G23" i="2"/>
  <c r="H23" i="2" s="1"/>
  <c r="F25" i="2" l="1"/>
  <c r="C27" i="2"/>
  <c r="E26" i="2"/>
  <c r="F26" i="2" l="1"/>
  <c r="H26" i="2"/>
  <c r="G26" i="2"/>
  <c r="E27" i="2"/>
  <c r="C28" i="2"/>
  <c r="G25" i="2"/>
  <c r="H25" i="2" s="1"/>
  <c r="E28" i="2" l="1"/>
  <c r="C29" i="2"/>
  <c r="F27" i="2"/>
  <c r="G27" i="2" s="1"/>
  <c r="H27" i="2" l="1"/>
  <c r="E29" i="2"/>
  <c r="C30" i="2"/>
  <c r="F28" i="2"/>
  <c r="H28" i="2" s="1"/>
  <c r="G28" i="2"/>
  <c r="E30" i="2" l="1"/>
  <c r="C31" i="2"/>
  <c r="F29" i="2"/>
  <c r="G29" i="2"/>
  <c r="H29" i="2" s="1"/>
  <c r="E31" i="2" l="1"/>
  <c r="C32" i="2"/>
  <c r="F30" i="2"/>
  <c r="G30" i="2"/>
  <c r="H30" i="2" s="1"/>
  <c r="C33" i="2" l="1"/>
  <c r="E32" i="2"/>
  <c r="F31" i="2"/>
  <c r="G31" i="2" l="1"/>
  <c r="H31" i="2" s="1"/>
  <c r="F32" i="2"/>
  <c r="C34" i="2"/>
  <c r="E33" i="2"/>
  <c r="F33" i="2" l="1"/>
  <c r="H33" i="2" s="1"/>
  <c r="G33" i="2"/>
  <c r="G32" i="2"/>
  <c r="H32" i="2" s="1"/>
  <c r="E34" i="2"/>
  <c r="C35" i="2"/>
  <c r="C36" i="2" l="1"/>
  <c r="E35" i="2"/>
  <c r="F34" i="2"/>
  <c r="F35" i="2" l="1"/>
  <c r="E36" i="2"/>
  <c r="C37" i="2"/>
  <c r="G34" i="2"/>
  <c r="H34" i="2" s="1"/>
  <c r="F36" i="2" l="1"/>
  <c r="H36" i="2" s="1"/>
  <c r="G36" i="2"/>
  <c r="G35" i="2"/>
  <c r="H35" i="2" s="1"/>
  <c r="E37" i="2"/>
  <c r="C38" i="2"/>
  <c r="E38" i="2" l="1"/>
  <c r="C39" i="2"/>
  <c r="F37" i="2"/>
  <c r="G37" i="2" l="1"/>
  <c r="H37" i="2" s="1"/>
  <c r="E39" i="2"/>
  <c r="C40" i="2"/>
  <c r="F38" i="2"/>
  <c r="G38" i="2"/>
  <c r="H38" i="2" s="1"/>
  <c r="F39" i="2" l="1"/>
  <c r="H39" i="2" s="1"/>
  <c r="G39" i="2"/>
  <c r="E40" i="2"/>
  <c r="C41" i="2"/>
  <c r="E41" i="2" l="1"/>
  <c r="C42" i="2"/>
  <c r="F40" i="2"/>
  <c r="G40" i="2" s="1"/>
  <c r="H40" i="2" l="1"/>
  <c r="E42" i="2"/>
  <c r="C43" i="2"/>
  <c r="F41" i="2"/>
  <c r="G41" i="2" l="1"/>
  <c r="H41" i="2" s="1"/>
  <c r="E43" i="2"/>
  <c r="C44" i="2"/>
  <c r="E44" i="2" s="1"/>
  <c r="F42" i="2"/>
  <c r="G42" i="2"/>
  <c r="H42" i="2" s="1"/>
  <c r="F44" i="2" l="1"/>
  <c r="H44" i="2" s="1"/>
  <c r="G44" i="2"/>
  <c r="F43" i="2"/>
  <c r="G43" i="2" l="1"/>
  <c r="H43" i="2" s="1"/>
  <c r="K8" i="1" l="1"/>
  <c r="W8" i="1"/>
  <c r="J9" i="1"/>
  <c r="F13" i="1"/>
  <c r="H13" i="1"/>
  <c r="R13" i="1"/>
  <c r="T13" i="1"/>
  <c r="F15" i="1"/>
  <c r="H15" i="1"/>
  <c r="R15" i="1"/>
  <c r="T15" i="1"/>
  <c r="F19" i="1"/>
  <c r="H19" i="1"/>
  <c r="R19" i="1"/>
  <c r="T19" i="1"/>
  <c r="F22" i="1"/>
  <c r="H22" i="1"/>
  <c r="R22" i="1"/>
  <c r="T22" i="1"/>
  <c r="F25" i="1"/>
  <c r="H25" i="1"/>
  <c r="R25" i="1"/>
  <c r="T25" i="1"/>
  <c r="H29" i="1"/>
  <c r="F31" i="1"/>
  <c r="H31" i="1"/>
  <c r="U31" i="1"/>
  <c r="F34" i="1"/>
  <c r="H34" i="1"/>
  <c r="R34" i="1"/>
  <c r="T34" i="1"/>
  <c r="F38" i="1"/>
  <c r="R38" i="1"/>
  <c r="K8" i="5"/>
  <c r="W8" i="5"/>
  <c r="J9" i="5"/>
  <c r="F13" i="5"/>
  <c r="H13" i="5"/>
  <c r="R13" i="5"/>
  <c r="T13" i="5"/>
  <c r="F15" i="5"/>
  <c r="H15" i="5"/>
  <c r="R15" i="5"/>
  <c r="T15" i="5"/>
  <c r="F19" i="5"/>
  <c r="H19" i="5"/>
  <c r="R19" i="5"/>
  <c r="T19" i="5"/>
  <c r="F22" i="5"/>
  <c r="H22" i="5"/>
  <c r="R22" i="5"/>
  <c r="T22" i="5"/>
  <c r="F25" i="5"/>
  <c r="H25" i="5"/>
  <c r="R25" i="5"/>
  <c r="T25" i="5"/>
  <c r="H29" i="5"/>
  <c r="F31" i="5"/>
  <c r="H31" i="5"/>
  <c r="U31" i="5"/>
  <c r="F34" i="5"/>
  <c r="H34" i="5"/>
  <c r="R34" i="5"/>
  <c r="T34" i="5"/>
  <c r="D38" i="5"/>
  <c r="R38" i="5"/>
</calcChain>
</file>

<file path=xl/sharedStrings.xml><?xml version="1.0" encoding="utf-8"?>
<sst xmlns="http://schemas.openxmlformats.org/spreadsheetml/2006/main" count="149" uniqueCount="60">
  <si>
    <t>Housing Allowance % of Base</t>
  </si>
  <si>
    <t>Parsonage valued at 30% of Base Salary</t>
  </si>
  <si>
    <t>Housing Equity Allowance - minimum $1800 annually</t>
  </si>
  <si>
    <t>per month</t>
  </si>
  <si>
    <t>Annual</t>
  </si>
  <si>
    <t>check</t>
  </si>
  <si>
    <t>T1</t>
  </si>
  <si>
    <t>Total Compensation Package</t>
  </si>
  <si>
    <t>B1</t>
  </si>
  <si>
    <t>Health Insurance **</t>
  </si>
  <si>
    <t>B2</t>
  </si>
  <si>
    <t>Disability / Basic Group Life</t>
  </si>
  <si>
    <t>B3</t>
  </si>
  <si>
    <t xml:space="preserve">Retirement / Pension </t>
  </si>
  <si>
    <t>B4</t>
  </si>
  <si>
    <t>Housing Equity Allowance</t>
  </si>
  <si>
    <t>TOTAL COST OF BENEFITS</t>
  </si>
  <si>
    <t>Amount Available for DEFINED COMPENSATION</t>
  </si>
  <si>
    <t>A4</t>
  </si>
  <si>
    <t>A3</t>
  </si>
  <si>
    <t>Additional Considerations</t>
  </si>
  <si>
    <t>Amount for Base Salary &amp; Housing Allowance</t>
  </si>
  <si>
    <t>A2</t>
  </si>
  <si>
    <t>Value of Parsonage - NOT cash expense for Payroll</t>
  </si>
  <si>
    <t xml:space="preserve">  (FICA-yes, income tax exempt)</t>
  </si>
  <si>
    <t>A1</t>
  </si>
  <si>
    <t>BASE SALARY</t>
  </si>
  <si>
    <t>**</t>
  </si>
  <si>
    <t>NO Parsonage - Housing Allowance</t>
  </si>
  <si>
    <t xml:space="preserve">Parsonage Provided &amp; Housing Equity Allowance </t>
  </si>
  <si>
    <t>This sheet shows</t>
  </si>
  <si>
    <t xml:space="preserve"> 5.0%</t>
  </si>
  <si>
    <t xml:space="preserve">      increase in Year 0 with a standardized declining difference using the Ratable % calculated from 4.09% to 2.3% and Ratable Increase calculated from 1.8% to .34%</t>
  </si>
  <si>
    <t>Years of Experience</t>
  </si>
  <si>
    <t>Year of Ordination</t>
  </si>
  <si>
    <t>Low</t>
  </si>
  <si>
    <t>High with Ratable % Difference</t>
  </si>
  <si>
    <t>Housing 50% High</t>
  </si>
  <si>
    <t>Social Security 7.65% High</t>
  </si>
  <si>
    <t>Total Defined Compensation High</t>
  </si>
  <si>
    <t>Year</t>
  </si>
  <si>
    <t>Ratable % Difference</t>
  </si>
  <si>
    <t>Calcuation</t>
  </si>
  <si>
    <t>Ratable % Increase</t>
  </si>
  <si>
    <t>Calculation</t>
  </si>
  <si>
    <t>Graduate</t>
  </si>
  <si>
    <t>Salary Available as % of Guideline</t>
  </si>
  <si>
    <t>Candidate - Year Ordained</t>
  </si>
  <si>
    <t xml:space="preserve">Guideline for Candidate ordained in </t>
  </si>
  <si>
    <t>Housing Allowance (can override with set $ amount)</t>
  </si>
  <si>
    <t>Need to start with "close" salary &amp; age to determine health cost.  
For low compensation calls, the "minimum" premium will most likely apply.  ($500-960/month for single coverage) 
Each "extra" is an equal insurance premium
The age of pastor is key to premium (11.5-22.5% of salary range)</t>
  </si>
  <si>
    <t>FICA Reimburse (7.65% of Base + Housing Allow.)</t>
  </si>
  <si>
    <t>FICA Reimburse (7.65% of Base + Parsonage Value)</t>
  </si>
  <si>
    <t xml:space="preserve"> Increase over 2025 Base</t>
  </si>
  <si>
    <t xml:space="preserve">LOW </t>
  </si>
  <si>
    <t>HIGH with Ratable % Difference</t>
  </si>
  <si>
    <t>FICA Reimbursement (7.65%)</t>
  </si>
  <si>
    <t xml:space="preserve">Housing Allowance </t>
  </si>
  <si>
    <t>Guideline for Candidate</t>
  </si>
  <si>
    <t>Need to start with "close" salary &amp; age to determine health cost.  
For low compensation calls, the "minimum" premium will most likely apply.  ($500-960/month) 
Each "extra" is an equal insurance premium
The age of pastor is key to premium (11.5-22.5% range)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</si>
</sst>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0.0%"/>
    <numFmt numFmtId="166" formatCode="&quot;$&quot;#,##0"/>
    <numFmt numFmtId="167" formatCode="_(* #,##0.00000_);_(* \(#,##0.00000\);_(* &quot;-&quot;??_);_(@_)"/>
    <numFmt numFmtId="168" formatCode="_(\$* #,##0.00_);_(\$* \(#,##0.00\);_(\$* \-??_);_(@_)"/>
    <numFmt numFmtId="169" formatCode="_(\$* #,##0_);_(\$* \(#,##0\);_(\$* \-??_);_(@_)"/>
    <numFmt numFmtId="170" formatCode="0.0000000%"/>
    <numFmt numFmtId="171" formatCode="0.000%"/>
  </numFmts>
  <fonts count="2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sz val="12"/>
      <color theme="1"/>
      <name val="Times New Roman"/>
      <family val="1"/>
    </font>
    <font>
      <b/>
      <sz val="16"/>
      <color theme="1"/>
      <name val="Times New Roman"/>
      <family val="1"/>
    </font>
    <font>
      <sz val="9"/>
      <color theme="1"/>
      <name val="Times New Roman"/>
      <family val="1"/>
    </font>
    <font>
      <sz val="12"/>
      <color indexed="8"/>
      <name val="Calibri"/>
      <family val="2"/>
      <charset val="1"/>
    </font>
    <font>
      <sz val="10"/>
      <color indexed="8"/>
      <name val="Times New Roman"/>
      <family val="1"/>
    </font>
    <font>
      <sz val="18"/>
      <color indexed="8"/>
      <name val="Times New Roman"/>
      <family val="1"/>
    </font>
    <font>
      <b/>
      <sz val="10"/>
      <color indexed="8"/>
      <name val="Times New Roman"/>
      <family val="1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</font>
    <font>
      <b/>
      <u/>
      <sz val="14"/>
      <color theme="1"/>
      <name val="Times New Roman"/>
      <family val="1"/>
    </font>
    <font>
      <u/>
      <sz val="16"/>
      <color theme="1"/>
      <name val="Times New Roman"/>
      <family val="1"/>
    </font>
    <font>
      <b/>
      <sz val="18"/>
      <color theme="1"/>
      <name val="Times New Roman"/>
      <family val="1"/>
    </font>
    <font>
      <sz val="18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b/>
      <u/>
      <sz val="11"/>
      <color indexed="8"/>
      <name val="Times New Roman"/>
      <family val="1"/>
    </font>
    <font>
      <b/>
      <sz val="11"/>
      <color theme="1"/>
      <name val="Times New Roman"/>
      <family val="1"/>
    </font>
    <font>
      <i/>
      <sz val="11"/>
      <color indexed="8"/>
      <name val="Times New Roman"/>
      <family val="1"/>
    </font>
    <font>
      <sz val="12"/>
      <color indexed="8"/>
      <name val="Times New Roman"/>
      <family val="1"/>
    </font>
    <font>
      <i/>
      <sz val="11"/>
      <color theme="1"/>
      <name val="Times New Roman"/>
      <family val="1"/>
    </font>
    <font>
      <b/>
      <i/>
      <sz val="11"/>
      <color indexed="8"/>
      <name val="Times New Roman"/>
      <family val="1"/>
    </font>
    <font>
      <b/>
      <sz val="9"/>
      <color theme="1"/>
      <name val="Times New Roman"/>
      <family val="1"/>
    </font>
    <font>
      <b/>
      <u/>
      <sz val="18"/>
      <color theme="1"/>
      <name val="Times New Roman"/>
      <family val="1"/>
    </font>
    <font>
      <sz val="16"/>
      <color theme="1"/>
      <name val="Times New Roman"/>
      <family val="1"/>
    </font>
  </fonts>
  <fills count="19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CCCFF"/>
        <bgColor indexed="22"/>
      </patternFill>
    </fill>
    <fill>
      <patternFill patternType="solid">
        <fgColor rgb="FFCCCCFF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BFAD8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/>
    <xf numFmtId="168" fontId="7" fillId="0" borderId="0"/>
    <xf numFmtId="9" fontId="7" fillId="0" borderId="0"/>
  </cellStyleXfs>
  <cellXfs count="188">
    <xf numFmtId="0" fontId="0" fillId="0" borderId="0" xfId="0"/>
    <xf numFmtId="164" fontId="2" fillId="0" borderId="0" xfId="0" applyNumberFormat="1" applyFont="1"/>
    <xf numFmtId="165" fontId="3" fillId="0" borderId="0" xfId="3" applyNumberFormat="1" applyFont="1" applyAlignment="1">
      <alignment horizontal="left" vertical="center" wrapText="1"/>
    </xf>
    <xf numFmtId="164" fontId="4" fillId="0" borderId="0" xfId="0" applyNumberFormat="1" applyFont="1"/>
    <xf numFmtId="164" fontId="4" fillId="0" borderId="0" xfId="2" applyNumberFormat="1" applyFont="1"/>
    <xf numFmtId="164" fontId="2" fillId="0" borderId="1" xfId="2" applyNumberFormat="1" applyFont="1" applyFill="1" applyBorder="1"/>
    <xf numFmtId="164" fontId="2" fillId="0" borderId="0" xfId="2" applyNumberFormat="1" applyFont="1"/>
    <xf numFmtId="164" fontId="2" fillId="4" borderId="1" xfId="2" applyNumberFormat="1" applyFont="1" applyFill="1" applyBorder="1"/>
    <xf numFmtId="165" fontId="2" fillId="0" borderId="0" xfId="3" applyNumberFormat="1" applyFont="1"/>
    <xf numFmtId="10" fontId="2" fillId="0" borderId="0" xfId="3" applyNumberFormat="1" applyFont="1"/>
    <xf numFmtId="164" fontId="2" fillId="0" borderId="0" xfId="2" applyNumberFormat="1" applyFont="1" applyBorder="1"/>
    <xf numFmtId="10" fontId="4" fillId="0" borderId="0" xfId="3" applyNumberFormat="1" applyFont="1"/>
    <xf numFmtId="164" fontId="3" fillId="0" borderId="0" xfId="0" applyNumberFormat="1" applyFont="1"/>
    <xf numFmtId="164" fontId="2" fillId="3" borderId="1" xfId="2" applyNumberFormat="1" applyFont="1" applyFill="1" applyBorder="1"/>
    <xf numFmtId="10" fontId="3" fillId="0" borderId="0" xfId="3" applyNumberFormat="1" applyFont="1"/>
    <xf numFmtId="164" fontId="3" fillId="0" borderId="0" xfId="2" applyNumberFormat="1" applyFont="1" applyBorder="1"/>
    <xf numFmtId="164" fontId="3" fillId="0" borderId="0" xfId="2" applyNumberFormat="1" applyFont="1" applyFill="1" applyBorder="1"/>
    <xf numFmtId="164" fontId="3" fillId="0" borderId="0" xfId="2" applyNumberFormat="1" applyFont="1"/>
    <xf numFmtId="164" fontId="5" fillId="0" borderId="0" xfId="0" applyNumberFormat="1" applyFont="1"/>
    <xf numFmtId="164" fontId="4" fillId="0" borderId="0" xfId="2" applyNumberFormat="1" applyFont="1" applyFill="1" applyBorder="1"/>
    <xf numFmtId="10" fontId="5" fillId="0" borderId="0" xfId="3" applyNumberFormat="1" applyFont="1"/>
    <xf numFmtId="164" fontId="5" fillId="0" borderId="0" xfId="2" applyNumberFormat="1" applyFont="1"/>
    <xf numFmtId="164" fontId="5" fillId="0" borderId="0" xfId="2" applyNumberFormat="1" applyFont="1" applyFill="1" applyBorder="1"/>
    <xf numFmtId="164" fontId="2" fillId="2" borderId="0" xfId="2" applyNumberFormat="1" applyFont="1" applyFill="1"/>
    <xf numFmtId="167" fontId="4" fillId="0" borderId="0" xfId="1" applyNumberFormat="1" applyFont="1"/>
    <xf numFmtId="164" fontId="4" fillId="6" borderId="0" xfId="0" applyNumberFormat="1" applyFont="1" applyFill="1"/>
    <xf numFmtId="164" fontId="2" fillId="6" borderId="0" xfId="0" applyNumberFormat="1" applyFont="1" applyFill="1"/>
    <xf numFmtId="164" fontId="3" fillId="6" borderId="0" xfId="0" applyNumberFormat="1" applyFont="1" applyFill="1"/>
    <xf numFmtId="164" fontId="5" fillId="6" borderId="0" xfId="0" applyNumberFormat="1" applyFont="1" applyFill="1"/>
    <xf numFmtId="167" fontId="4" fillId="6" borderId="0" xfId="1" applyNumberFormat="1" applyFont="1" applyFill="1"/>
    <xf numFmtId="164" fontId="6" fillId="0" borderId="0" xfId="0" applyNumberFormat="1" applyFont="1" applyAlignment="1">
      <alignment horizontal="right"/>
    </xf>
    <xf numFmtId="167" fontId="4" fillId="0" borderId="0" xfId="1" applyNumberFormat="1" applyFont="1" applyFill="1"/>
    <xf numFmtId="0" fontId="8" fillId="0" borderId="0" xfId="4" applyFont="1" applyAlignment="1">
      <alignment horizontal="center"/>
    </xf>
    <xf numFmtId="0" fontId="8" fillId="0" borderId="0" xfId="4" applyFont="1"/>
    <xf numFmtId="0" fontId="9" fillId="0" borderId="0" xfId="4" quotePrefix="1" applyFont="1" applyAlignment="1">
      <alignment horizontal="center" vertical="center"/>
    </xf>
    <xf numFmtId="0" fontId="8" fillId="0" borderId="0" xfId="4" applyFont="1" applyAlignment="1">
      <alignment vertical="center" wrapText="1"/>
    </xf>
    <xf numFmtId="0" fontId="8" fillId="0" borderId="0" xfId="4" applyFont="1" applyAlignment="1">
      <alignment horizontal="center" wrapText="1"/>
    </xf>
    <xf numFmtId="0" fontId="10" fillId="0" borderId="0" xfId="4" applyFont="1" applyAlignment="1">
      <alignment horizontal="center" wrapText="1"/>
    </xf>
    <xf numFmtId="166" fontId="8" fillId="0" borderId="0" xfId="4" applyNumberFormat="1" applyFont="1" applyAlignment="1">
      <alignment horizontal="center" wrapText="1"/>
    </xf>
    <xf numFmtId="0" fontId="8" fillId="0" borderId="0" xfId="4" applyFont="1" applyAlignment="1">
      <alignment wrapText="1"/>
    </xf>
    <xf numFmtId="0" fontId="11" fillId="0" borderId="0" xfId="4" applyFont="1" applyAlignment="1">
      <alignment horizontal="center"/>
    </xf>
    <xf numFmtId="169" fontId="12" fillId="3" borderId="0" xfId="5" applyNumberFormat="1" applyFont="1" applyFill="1"/>
    <xf numFmtId="169" fontId="8" fillId="0" borderId="0" xfId="4" applyNumberFormat="1" applyFont="1"/>
    <xf numFmtId="166" fontId="8" fillId="5" borderId="0" xfId="5" applyNumberFormat="1" applyFont="1" applyFill="1"/>
    <xf numFmtId="169" fontId="8" fillId="0" borderId="0" xfId="5" applyNumberFormat="1" applyFont="1"/>
    <xf numFmtId="169" fontId="8" fillId="7" borderId="0" xfId="4" applyNumberFormat="1" applyFont="1" applyFill="1"/>
    <xf numFmtId="10" fontId="8" fillId="0" borderId="0" xfId="4" applyNumberFormat="1" applyFont="1"/>
    <xf numFmtId="170" fontId="8" fillId="0" borderId="0" xfId="6" applyNumberFormat="1" applyFont="1"/>
    <xf numFmtId="169" fontId="10" fillId="0" borderId="0" xfId="5" applyNumberFormat="1" applyFont="1"/>
    <xf numFmtId="166" fontId="8" fillId="0" borderId="0" xfId="5" applyNumberFormat="1" applyFont="1"/>
    <xf numFmtId="170" fontId="8" fillId="0" borderId="0" xfId="4" applyNumberFormat="1" applyFont="1"/>
    <xf numFmtId="0" fontId="8" fillId="8" borderId="0" xfId="4" applyFont="1" applyFill="1" applyAlignment="1">
      <alignment horizontal="center"/>
    </xf>
    <xf numFmtId="169" fontId="10" fillId="8" borderId="0" xfId="5" applyNumberFormat="1" applyFont="1" applyFill="1"/>
    <xf numFmtId="169" fontId="8" fillId="8" borderId="0" xfId="4" applyNumberFormat="1" applyFont="1" applyFill="1"/>
    <xf numFmtId="166" fontId="8" fillId="9" borderId="0" xfId="5" applyNumberFormat="1" applyFont="1" applyFill="1"/>
    <xf numFmtId="169" fontId="8" fillId="8" borderId="0" xfId="5" applyNumberFormat="1" applyFont="1" applyFill="1"/>
    <xf numFmtId="169" fontId="8" fillId="9" borderId="0" xfId="5" applyNumberFormat="1" applyFont="1" applyFill="1"/>
    <xf numFmtId="0" fontId="8" fillId="9" borderId="0" xfId="4" applyFont="1" applyFill="1"/>
    <xf numFmtId="10" fontId="8" fillId="9" borderId="0" xfId="4" applyNumberFormat="1" applyFont="1" applyFill="1"/>
    <xf numFmtId="0" fontId="8" fillId="10" borderId="0" xfId="4" applyFont="1" applyFill="1" applyAlignment="1">
      <alignment horizontal="center"/>
    </xf>
    <xf numFmtId="166" fontId="8" fillId="8" borderId="0" xfId="5" applyNumberFormat="1" applyFont="1" applyFill="1"/>
    <xf numFmtId="0" fontId="8" fillId="8" borderId="0" xfId="4" applyFont="1" applyFill="1"/>
    <xf numFmtId="10" fontId="8" fillId="8" borderId="0" xfId="4" applyNumberFormat="1" applyFont="1" applyFill="1"/>
    <xf numFmtId="0" fontId="10" fillId="0" borderId="0" xfId="4" applyFont="1"/>
    <xf numFmtId="166" fontId="8" fillId="0" borderId="0" xfId="4" applyNumberFormat="1" applyFont="1"/>
    <xf numFmtId="164" fontId="4" fillId="0" borderId="0" xfId="0" applyNumberFormat="1" applyFont="1" applyAlignment="1">
      <alignment horizontal="right" vertical="center"/>
    </xf>
    <xf numFmtId="164" fontId="13" fillId="0" borderId="0" xfId="0" applyNumberFormat="1" applyFont="1" applyAlignment="1">
      <alignment horizontal="center"/>
    </xf>
    <xf numFmtId="164" fontId="14" fillId="0" borderId="0" xfId="0" applyNumberFormat="1" applyFont="1"/>
    <xf numFmtId="164" fontId="14" fillId="6" borderId="0" xfId="0" applyNumberFormat="1" applyFont="1" applyFill="1"/>
    <xf numFmtId="164" fontId="2" fillId="0" borderId="3" xfId="2" applyNumberFormat="1" applyFont="1" applyFill="1" applyBorder="1"/>
    <xf numFmtId="10" fontId="3" fillId="4" borderId="0" xfId="3" applyNumberFormat="1" applyFont="1" applyFill="1"/>
    <xf numFmtId="164" fontId="3" fillId="4" borderId="0" xfId="0" applyNumberFormat="1" applyFont="1" applyFill="1"/>
    <xf numFmtId="164" fontId="3" fillId="4" borderId="0" xfId="2" applyNumberFormat="1" applyFont="1" applyFill="1" applyBorder="1"/>
    <xf numFmtId="164" fontId="3" fillId="4" borderId="2" xfId="2" applyNumberFormat="1" applyFont="1" applyFill="1" applyBorder="1"/>
    <xf numFmtId="166" fontId="3" fillId="4" borderId="2" xfId="2" applyNumberFormat="1" applyFont="1" applyFill="1" applyBorder="1"/>
    <xf numFmtId="165" fontId="3" fillId="2" borderId="1" xfId="3" applyNumberFormat="1" applyFont="1" applyFill="1" applyBorder="1" applyAlignment="1">
      <alignment horizontal="right" vertical="center" wrapText="1"/>
    </xf>
    <xf numFmtId="0" fontId="2" fillId="12" borderId="1" xfId="0" applyFont="1" applyFill="1" applyBorder="1"/>
    <xf numFmtId="166" fontId="15" fillId="0" borderId="0" xfId="0" applyNumberFormat="1" applyFont="1"/>
    <xf numFmtId="166" fontId="15" fillId="0" borderId="0" xfId="2" applyNumberFormat="1" applyFont="1"/>
    <xf numFmtId="166" fontId="15" fillId="3" borderId="1" xfId="2" applyNumberFormat="1" applyFont="1" applyFill="1" applyBorder="1"/>
    <xf numFmtId="166" fontId="16" fillId="0" borderId="0" xfId="0" applyNumberFormat="1" applyFont="1" applyAlignment="1">
      <alignment horizontal="right"/>
    </xf>
    <xf numFmtId="166" fontId="15" fillId="0" borderId="0" xfId="0" applyNumberFormat="1" applyFont="1" applyAlignment="1">
      <alignment horizontal="right"/>
    </xf>
    <xf numFmtId="166" fontId="15" fillId="6" borderId="0" xfId="0" applyNumberFormat="1" applyFont="1" applyFill="1"/>
    <xf numFmtId="166" fontId="15" fillId="11" borderId="0" xfId="0" applyNumberFormat="1" applyFont="1" applyFill="1"/>
    <xf numFmtId="166" fontId="15" fillId="11" borderId="0" xfId="3" applyNumberFormat="1" applyFont="1" applyFill="1"/>
    <xf numFmtId="166" fontId="15" fillId="11" borderId="0" xfId="2" applyNumberFormat="1" applyFont="1" applyFill="1"/>
    <xf numFmtId="166" fontId="16" fillId="0" borderId="0" xfId="0" applyNumberFormat="1" applyFont="1"/>
    <xf numFmtId="166" fontId="16" fillId="6" borderId="0" xfId="0" applyNumberFormat="1" applyFont="1" applyFill="1"/>
    <xf numFmtId="0" fontId="17" fillId="0" borderId="0" xfId="0" applyFont="1"/>
    <xf numFmtId="10" fontId="17" fillId="0" borderId="0" xfId="3" applyNumberFormat="1" applyFont="1"/>
    <xf numFmtId="166" fontId="3" fillId="0" borderId="1" xfId="3" applyNumberFormat="1" applyFont="1" applyFill="1" applyBorder="1"/>
    <xf numFmtId="164" fontId="2" fillId="13" borderId="1" xfId="0" applyNumberFormat="1" applyFont="1" applyFill="1" applyBorder="1" applyAlignment="1" applyProtection="1">
      <alignment vertical="center" wrapText="1"/>
      <protection locked="0"/>
    </xf>
    <xf numFmtId="0" fontId="18" fillId="0" borderId="0" xfId="0" applyFont="1" applyAlignment="1">
      <alignment horizontal="center" vertical="center"/>
    </xf>
    <xf numFmtId="165" fontId="19" fillId="15" borderId="0" xfId="6" applyNumberFormat="1" applyFont="1" applyFill="1" applyAlignment="1">
      <alignment vertical="center"/>
    </xf>
    <xf numFmtId="165" fontId="11" fillId="0" borderId="0" xfId="6" applyNumberFormat="1" applyFont="1"/>
    <xf numFmtId="0" fontId="20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169" fontId="21" fillId="0" borderId="0" xfId="5" applyNumberFormat="1" applyFont="1" applyAlignment="1">
      <alignment horizontal="center" vertical="center" wrapText="1"/>
    </xf>
    <xf numFmtId="169" fontId="20" fillId="0" borderId="0" xfId="0" applyNumberFormat="1" applyFont="1" applyAlignment="1">
      <alignment horizontal="center" vertical="center" wrapText="1"/>
    </xf>
    <xf numFmtId="169" fontId="18" fillId="0" borderId="0" xfId="0" applyNumberFormat="1" applyFont="1" applyAlignment="1">
      <alignment horizontal="center" vertical="center" wrapText="1"/>
    </xf>
    <xf numFmtId="169" fontId="23" fillId="0" borderId="0" xfId="0" applyNumberFormat="1" applyFont="1" applyAlignment="1">
      <alignment horizontal="center" vertical="center" wrapText="1"/>
    </xf>
    <xf numFmtId="169" fontId="21" fillId="0" borderId="0" xfId="5" applyNumberFormat="1" applyFont="1" applyAlignment="1">
      <alignment wrapText="1"/>
    </xf>
    <xf numFmtId="169" fontId="21" fillId="0" borderId="0" xfId="5" applyNumberFormat="1" applyFont="1"/>
    <xf numFmtId="0" fontId="18" fillId="0" borderId="0" xfId="0" applyFont="1" applyAlignment="1">
      <alignment horizontal="center"/>
    </xf>
    <xf numFmtId="169" fontId="20" fillId="3" borderId="0" xfId="0" applyNumberFormat="1" applyFont="1" applyFill="1"/>
    <xf numFmtId="10" fontId="11" fillId="0" borderId="0" xfId="6" applyNumberFormat="1" applyFont="1" applyAlignment="1">
      <alignment horizontal="center"/>
    </xf>
    <xf numFmtId="169" fontId="23" fillId="2" borderId="0" xfId="0" applyNumberFormat="1" applyFont="1" applyFill="1"/>
    <xf numFmtId="169" fontId="23" fillId="0" borderId="0" xfId="0" applyNumberFormat="1" applyFont="1"/>
    <xf numFmtId="169" fontId="24" fillId="0" borderId="0" xfId="5" applyNumberFormat="1" applyFont="1"/>
    <xf numFmtId="169" fontId="20" fillId="15" borderId="0" xfId="0" applyNumberFormat="1" applyFont="1" applyFill="1"/>
    <xf numFmtId="10" fontId="12" fillId="15" borderId="0" xfId="6" applyNumberFormat="1" applyFont="1" applyFill="1" applyAlignment="1">
      <alignment horizontal="center"/>
    </xf>
    <xf numFmtId="169" fontId="23" fillId="5" borderId="0" xfId="0" applyNumberFormat="1" applyFont="1" applyFill="1"/>
    <xf numFmtId="10" fontId="11" fillId="5" borderId="0" xfId="6" applyNumberFormat="1" applyFont="1" applyFill="1" applyAlignment="1">
      <alignment horizontal="center"/>
    </xf>
    <xf numFmtId="169" fontId="20" fillId="0" borderId="0" xfId="0" applyNumberFormat="1" applyFont="1"/>
    <xf numFmtId="0" fontId="18" fillId="5" borderId="0" xfId="0" applyFont="1" applyFill="1" applyAlignment="1">
      <alignment horizontal="center"/>
    </xf>
    <xf numFmtId="169" fontId="21" fillId="5" borderId="0" xfId="5" applyNumberFormat="1" applyFont="1" applyFill="1"/>
    <xf numFmtId="169" fontId="20" fillId="5" borderId="0" xfId="0" applyNumberFormat="1" applyFont="1" applyFill="1"/>
    <xf numFmtId="10" fontId="12" fillId="5" borderId="0" xfId="6" applyNumberFormat="1" applyFont="1" applyFill="1" applyAlignment="1">
      <alignment horizontal="center"/>
    </xf>
    <xf numFmtId="0" fontId="18" fillId="16" borderId="0" xfId="0" applyFont="1" applyFill="1" applyAlignment="1">
      <alignment horizontal="center"/>
    </xf>
    <xf numFmtId="169" fontId="21" fillId="16" borderId="0" xfId="5" applyNumberFormat="1" applyFont="1" applyFill="1"/>
    <xf numFmtId="169" fontId="20" fillId="16" borderId="0" xfId="0" applyNumberFormat="1" applyFont="1" applyFill="1"/>
    <xf numFmtId="10" fontId="12" fillId="16" borderId="0" xfId="6" applyNumberFormat="1" applyFont="1" applyFill="1" applyAlignment="1">
      <alignment horizontal="center"/>
    </xf>
    <xf numFmtId="169" fontId="23" fillId="16" borderId="0" xfId="0" applyNumberFormat="1" applyFont="1" applyFill="1"/>
    <xf numFmtId="0" fontId="18" fillId="17" borderId="0" xfId="0" applyFont="1" applyFill="1" applyAlignment="1">
      <alignment horizontal="center"/>
    </xf>
    <xf numFmtId="169" fontId="21" fillId="17" borderId="0" xfId="5" applyNumberFormat="1" applyFont="1" applyFill="1"/>
    <xf numFmtId="169" fontId="20" fillId="17" borderId="0" xfId="0" applyNumberFormat="1" applyFont="1" applyFill="1"/>
    <xf numFmtId="10" fontId="12" fillId="17" borderId="0" xfId="6" applyNumberFormat="1" applyFont="1" applyFill="1" applyAlignment="1">
      <alignment horizontal="center"/>
    </xf>
    <xf numFmtId="169" fontId="23" fillId="17" borderId="0" xfId="0" applyNumberFormat="1" applyFont="1" applyFill="1"/>
    <xf numFmtId="169" fontId="23" fillId="3" borderId="0" xfId="0" applyNumberFormat="1" applyFont="1" applyFill="1"/>
    <xf numFmtId="169" fontId="18" fillId="0" borderId="0" xfId="0" applyNumberFormat="1" applyFont="1" applyAlignment="1">
      <alignment horizontal="center"/>
    </xf>
    <xf numFmtId="10" fontId="22" fillId="0" borderId="0" xfId="6" applyNumberFormat="1" applyFont="1" applyAlignment="1">
      <alignment horizontal="center" vertical="center" wrapText="1"/>
    </xf>
    <xf numFmtId="171" fontId="22" fillId="0" borderId="0" xfId="6" applyNumberFormat="1" applyFont="1" applyAlignment="1">
      <alignment horizontal="center" vertical="center" wrapText="1"/>
    </xf>
    <xf numFmtId="171" fontId="22" fillId="0" borderId="0" xfId="6" applyNumberFormat="1" applyFont="1"/>
    <xf numFmtId="10" fontId="22" fillId="0" borderId="0" xfId="6" applyNumberFormat="1" applyFont="1"/>
    <xf numFmtId="164" fontId="2" fillId="0" borderId="4" xfId="2" applyNumberFormat="1" applyFont="1" applyBorder="1"/>
    <xf numFmtId="164" fontId="3" fillId="0" borderId="0" xfId="0" applyNumberFormat="1" applyFont="1" applyAlignment="1">
      <alignment horizontal="left" vertical="center" wrapText="1"/>
    </xf>
    <xf numFmtId="10" fontId="3" fillId="0" borderId="0" xfId="3" applyNumberFormat="1" applyFont="1" applyAlignment="1">
      <alignment horizontal="left"/>
    </xf>
    <xf numFmtId="164" fontId="2" fillId="14" borderId="5" xfId="0" applyNumberFormat="1" applyFont="1" applyFill="1" applyBorder="1" applyAlignment="1" applyProtection="1">
      <alignment horizontal="left" vertical="center" wrapText="1"/>
      <protection locked="0"/>
    </xf>
    <xf numFmtId="164" fontId="2" fillId="14" borderId="6" xfId="0" applyNumberFormat="1" applyFont="1" applyFill="1" applyBorder="1" applyAlignment="1" applyProtection="1">
      <alignment horizontal="left" vertical="center" wrapText="1"/>
      <protection locked="0"/>
    </xf>
    <xf numFmtId="164" fontId="2" fillId="14" borderId="7" xfId="0" applyNumberFormat="1" applyFont="1" applyFill="1" applyBorder="1" applyAlignment="1" applyProtection="1">
      <alignment horizontal="left" vertical="center" wrapText="1"/>
      <protection locked="0"/>
    </xf>
    <xf numFmtId="164" fontId="2" fillId="14" borderId="8" xfId="0" applyNumberFormat="1" applyFont="1" applyFill="1" applyBorder="1" applyAlignment="1" applyProtection="1">
      <alignment horizontal="left" vertical="center" wrapText="1"/>
      <protection locked="0"/>
    </xf>
    <xf numFmtId="164" fontId="2" fillId="14" borderId="0" xfId="0" applyNumberFormat="1" applyFont="1" applyFill="1" applyAlignment="1" applyProtection="1">
      <alignment horizontal="left" vertical="center" wrapText="1"/>
      <protection locked="0"/>
    </xf>
    <xf numFmtId="164" fontId="2" fillId="14" borderId="4" xfId="0" applyNumberFormat="1" applyFont="1" applyFill="1" applyBorder="1" applyAlignment="1" applyProtection="1">
      <alignment horizontal="left" vertical="center" wrapText="1"/>
      <protection locked="0"/>
    </xf>
    <xf numFmtId="164" fontId="2" fillId="14" borderId="9" xfId="0" applyNumberFormat="1" applyFont="1" applyFill="1" applyBorder="1" applyAlignment="1" applyProtection="1">
      <alignment horizontal="left" vertical="center" wrapText="1"/>
      <protection locked="0"/>
    </xf>
    <xf numFmtId="164" fontId="2" fillId="14" borderId="2" xfId="0" applyNumberFormat="1" applyFont="1" applyFill="1" applyBorder="1" applyAlignment="1" applyProtection="1">
      <alignment horizontal="left" vertical="center" wrapText="1"/>
      <protection locked="0"/>
    </xf>
    <xf numFmtId="164" fontId="2" fillId="14" borderId="10" xfId="0" applyNumberFormat="1" applyFont="1" applyFill="1" applyBorder="1" applyAlignment="1" applyProtection="1">
      <alignment horizontal="left" vertical="center" wrapText="1"/>
      <protection locked="0"/>
    </xf>
    <xf numFmtId="164" fontId="14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left"/>
    </xf>
    <xf numFmtId="0" fontId="18" fillId="0" borderId="0" xfId="0" applyFont="1" applyAlignment="1">
      <alignment horizontal="center" vertical="center"/>
    </xf>
    <xf numFmtId="0" fontId="8" fillId="0" borderId="0" xfId="4" applyFont="1" applyAlignment="1">
      <alignment horizontal="left" vertical="center" wrapText="1"/>
    </xf>
    <xf numFmtId="0" fontId="8" fillId="0" borderId="0" xfId="4" applyFont="1" applyAlignment="1">
      <alignment horizontal="center" vertical="center" wrapText="1"/>
    </xf>
    <xf numFmtId="164" fontId="5" fillId="3" borderId="0" xfId="0" applyNumberFormat="1" applyFont="1" applyFill="1"/>
    <xf numFmtId="164" fontId="5" fillId="3" borderId="1" xfId="2" applyNumberFormat="1" applyFont="1" applyFill="1" applyBorder="1"/>
    <xf numFmtId="164" fontId="25" fillId="0" borderId="0" xfId="0" applyNumberFormat="1" applyFont="1" applyAlignment="1">
      <alignment horizontal="right"/>
    </xf>
    <xf numFmtId="10" fontId="2" fillId="12" borderId="0" xfId="3" applyNumberFormat="1" applyFont="1" applyFill="1"/>
    <xf numFmtId="164" fontId="2" fillId="18" borderId="1" xfId="2" applyNumberFormat="1" applyFont="1" applyFill="1" applyBorder="1"/>
    <xf numFmtId="164" fontId="15" fillId="0" borderId="0" xfId="0" applyNumberFormat="1" applyFont="1"/>
    <xf numFmtId="10" fontId="15" fillId="11" borderId="0" xfId="3" applyNumberFormat="1" applyFont="1" applyFill="1"/>
    <xf numFmtId="164" fontId="15" fillId="11" borderId="0" xfId="0" applyNumberFormat="1" applyFont="1" applyFill="1"/>
    <xf numFmtId="164" fontId="15" fillId="11" borderId="0" xfId="2" applyNumberFormat="1" applyFont="1" applyFill="1"/>
    <xf numFmtId="164" fontId="15" fillId="11" borderId="0" xfId="2" applyNumberFormat="1" applyFont="1" applyFill="1" applyBorder="1"/>
    <xf numFmtId="164" fontId="16" fillId="0" borderId="0" xfId="0" applyNumberFormat="1" applyFont="1"/>
    <xf numFmtId="164" fontId="16" fillId="6" borderId="0" xfId="0" applyNumberFormat="1" applyFont="1" applyFill="1"/>
    <xf numFmtId="10" fontId="15" fillId="0" borderId="0" xfId="3" applyNumberFormat="1" applyFont="1"/>
    <xf numFmtId="164" fontId="15" fillId="0" borderId="0" xfId="2" applyNumberFormat="1" applyFont="1"/>
    <xf numFmtId="164" fontId="15" fillId="0" borderId="0" xfId="2" applyNumberFormat="1" applyFont="1" applyFill="1" applyBorder="1"/>
    <xf numFmtId="164" fontId="4" fillId="0" borderId="2" xfId="2" applyNumberFormat="1" applyFont="1" applyBorder="1"/>
    <xf numFmtId="166" fontId="26" fillId="11" borderId="0" xfId="2" applyNumberFormat="1" applyFont="1" applyFill="1"/>
    <xf numFmtId="164" fontId="27" fillId="0" borderId="0" xfId="0" applyNumberFormat="1" applyFont="1"/>
    <xf numFmtId="10" fontId="27" fillId="0" borderId="0" xfId="3" applyNumberFormat="1" applyFont="1"/>
    <xf numFmtId="166" fontId="27" fillId="12" borderId="0" xfId="3" applyNumberFormat="1" applyFont="1" applyFill="1"/>
    <xf numFmtId="164" fontId="27" fillId="0" borderId="0" xfId="2" applyNumberFormat="1" applyFont="1"/>
    <xf numFmtId="164" fontId="27" fillId="6" borderId="0" xfId="0" applyNumberFormat="1" applyFont="1" applyFill="1"/>
    <xf numFmtId="165" fontId="27" fillId="0" borderId="0" xfId="3" applyNumberFormat="1" applyFont="1"/>
    <xf numFmtId="164" fontId="2" fillId="13" borderId="5" xfId="0" applyNumberFormat="1" applyFont="1" applyFill="1" applyBorder="1" applyAlignment="1" applyProtection="1">
      <alignment horizontal="left" vertical="center" wrapText="1"/>
      <protection locked="0"/>
    </xf>
    <xf numFmtId="164" fontId="2" fillId="13" borderId="6" xfId="0" applyNumberFormat="1" applyFont="1" applyFill="1" applyBorder="1" applyAlignment="1" applyProtection="1">
      <alignment horizontal="left" vertical="center" wrapText="1"/>
      <protection locked="0"/>
    </xf>
    <xf numFmtId="164" fontId="2" fillId="13" borderId="7" xfId="0" applyNumberFormat="1" applyFont="1" applyFill="1" applyBorder="1" applyAlignment="1" applyProtection="1">
      <alignment horizontal="left" vertical="center" wrapText="1"/>
      <protection locked="0"/>
    </xf>
    <xf numFmtId="164" fontId="2" fillId="13" borderId="8" xfId="0" applyNumberFormat="1" applyFont="1" applyFill="1" applyBorder="1" applyAlignment="1" applyProtection="1">
      <alignment horizontal="left" vertical="center" wrapText="1"/>
      <protection locked="0"/>
    </xf>
    <xf numFmtId="164" fontId="2" fillId="13" borderId="0" xfId="0" applyNumberFormat="1" applyFont="1" applyFill="1" applyAlignment="1" applyProtection="1">
      <alignment horizontal="left" vertical="center" wrapText="1"/>
      <protection locked="0"/>
    </xf>
    <xf numFmtId="164" fontId="2" fillId="13" borderId="4" xfId="0" applyNumberFormat="1" applyFont="1" applyFill="1" applyBorder="1" applyAlignment="1" applyProtection="1">
      <alignment horizontal="left" vertical="center" wrapText="1"/>
      <protection locked="0"/>
    </xf>
    <xf numFmtId="164" fontId="2" fillId="13" borderId="9" xfId="0" applyNumberFormat="1" applyFont="1" applyFill="1" applyBorder="1" applyAlignment="1" applyProtection="1">
      <alignment horizontal="left" vertical="center" wrapText="1"/>
      <protection locked="0"/>
    </xf>
    <xf numFmtId="164" fontId="2" fillId="13" borderId="2" xfId="0" applyNumberFormat="1" applyFont="1" applyFill="1" applyBorder="1" applyAlignment="1" applyProtection="1">
      <alignment horizontal="left" vertical="center" wrapText="1"/>
      <protection locked="0"/>
    </xf>
    <xf numFmtId="164" fontId="2" fillId="13" borderId="10" xfId="0" applyNumberFormat="1" applyFont="1" applyFill="1" applyBorder="1" applyAlignment="1" applyProtection="1">
      <alignment horizontal="left" vertical="center" wrapText="1"/>
      <protection locked="0"/>
    </xf>
    <xf numFmtId="10" fontId="3" fillId="16" borderId="0" xfId="3" applyNumberFormat="1" applyFont="1" applyFill="1"/>
    <xf numFmtId="164" fontId="17" fillId="16" borderId="0" xfId="0" applyNumberFormat="1" applyFont="1" applyFill="1"/>
    <xf numFmtId="10" fontId="17" fillId="16" borderId="0" xfId="3" applyNumberFormat="1" applyFont="1" applyFill="1"/>
    <xf numFmtId="165" fontId="2" fillId="0" borderId="0" xfId="3" applyNumberFormat="1" applyFont="1" applyFill="1"/>
    <xf numFmtId="164" fontId="3" fillId="13" borderId="1" xfId="0" applyNumberFormat="1" applyFont="1" applyFill="1" applyBorder="1" applyAlignment="1" applyProtection="1">
      <alignment vertical="center" wrapText="1"/>
      <protection locked="0"/>
    </xf>
  </cellXfs>
  <cellStyles count="7">
    <cellStyle name="Comma" xfId="1" builtinId="3"/>
    <cellStyle name="Currency" xfId="2" builtinId="4"/>
    <cellStyle name="Currency 2" xfId="5" xr:uid="{CBD8A37A-B681-42A7-B897-D1B2ECEB8527}"/>
    <cellStyle name="Excel Built-in Normal" xfId="4" xr:uid="{D5C47411-C3D6-4193-BB21-446B5FF7A122}"/>
    <cellStyle name="Normal" xfId="0" builtinId="0"/>
    <cellStyle name="Percent" xfId="3" builtinId="5"/>
    <cellStyle name="Percent 2" xfId="6" xr:uid="{0335423A-06D4-4327-BBC0-8FD31AD16806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norswissdairy-my.sharepoint.com/personal/annelies_norswissdairy_onmicrosoft_com/Documents/Anne%20Synod%20Compensation%20Committee/2026%20Synod%20Guidelines/2026%20Adopted%20Documents/2026%20Comp%20Calculator%20-%20NO%20Parsonage.xlsx" TargetMode="External"/><Relationship Id="rId1" Type="http://schemas.openxmlformats.org/officeDocument/2006/relationships/externalLinkPath" Target="2026%20Comp%20Calculator%20-%20NO%20Parsonag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irections"/>
      <sheetName val="Worksheet - NO Parsonage"/>
      <sheetName val="Example NO Parsonage "/>
      <sheetName val="Reverse Calculator"/>
      <sheetName val="2026 Minister Salary Table"/>
      <sheetName val="2025 Minister Salary Table"/>
      <sheetName val="2024 Minister Salary Table"/>
      <sheetName val="2023 Minister Salary Table"/>
    </sheetNames>
    <sheetDataSet>
      <sheetData sheetId="0"/>
      <sheetData sheetId="1"/>
      <sheetData sheetId="2"/>
      <sheetData sheetId="3"/>
      <sheetData sheetId="4">
        <row r="4">
          <cell r="B4">
            <v>2026</v>
          </cell>
          <cell r="C4">
            <v>45437</v>
          </cell>
          <cell r="E4">
            <v>47295.373299999999</v>
          </cell>
        </row>
        <row r="5">
          <cell r="B5">
            <v>2025</v>
          </cell>
          <cell r="C5">
            <v>46254.866000000002</v>
          </cell>
          <cell r="E5">
            <v>48125.990966865</v>
          </cell>
        </row>
        <row r="6">
          <cell r="B6">
            <v>2024</v>
          </cell>
          <cell r="C6">
            <v>47070.108013249999</v>
          </cell>
          <cell r="E6">
            <v>48953.147684320065</v>
          </cell>
        </row>
        <row r="7">
          <cell r="B7">
            <v>2023</v>
          </cell>
          <cell r="C7">
            <v>47882.067376478561</v>
          </cell>
          <cell r="E7">
            <v>49776.162256723612</v>
          </cell>
        </row>
        <row r="8">
          <cell r="B8">
            <v>2022</v>
          </cell>
          <cell r="C8">
            <v>48690.077263456638</v>
          </cell>
          <cell r="E8">
            <v>50594.346185230424</v>
          </cell>
        </row>
        <row r="9">
          <cell r="B9">
            <v>2021</v>
          </cell>
          <cell r="C9">
            <v>49493.463538303673</v>
          </cell>
          <cell r="E9">
            <v>51407.00457235334</v>
          </cell>
        </row>
        <row r="10">
          <cell r="B10">
            <v>2020</v>
          </cell>
          <cell r="C10">
            <v>50291.545637858821</v>
          </cell>
          <cell r="E10">
            <v>52213.437054409595</v>
          </cell>
        </row>
        <row r="11">
          <cell r="B11">
            <v>2019</v>
          </cell>
          <cell r="C11">
            <v>51083.637481655096</v>
          </cell>
          <cell r="E11">
            <v>53012.938760243502</v>
          </cell>
        </row>
        <row r="12">
          <cell r="B12">
            <v>2018</v>
          </cell>
          <cell r="C12">
            <v>51869.048407935545</v>
          </cell>
          <cell r="E12">
            <v>53804.801294519697</v>
          </cell>
        </row>
        <row r="13">
          <cell r="B13">
            <v>2017</v>
          </cell>
          <cell r="C13">
            <v>52647.084134054574</v>
          </cell>
          <cell r="E13">
            <v>54588.313743787498</v>
          </cell>
        </row>
        <row r="14">
          <cell r="B14">
            <v>2016</v>
          </cell>
          <cell r="C14">
            <v>53417.047739515125</v>
          </cell>
          <cell r="E14">
            <v>55362.763703426965</v>
          </cell>
        </row>
        <row r="15">
          <cell r="B15">
            <v>2015</v>
          </cell>
          <cell r="C15">
            <v>54178.240669803214</v>
          </cell>
          <cell r="E15">
            <v>56127.438323501054</v>
          </cell>
        </row>
        <row r="16">
          <cell r="B16">
            <v>2014</v>
          </cell>
          <cell r="C16">
            <v>54929.963759096732</v>
          </cell>
          <cell r="E16">
            <v>56881.625371457434</v>
          </cell>
        </row>
        <row r="17">
          <cell r="B17">
            <v>2013</v>
          </cell>
          <cell r="C17">
            <v>55671.518269844535</v>
          </cell>
          <cell r="E17">
            <v>57624.614309546356</v>
          </cell>
        </row>
        <row r="18">
          <cell r="B18">
            <v>2012</v>
          </cell>
          <cell r="C18">
            <v>56402.206947136241</v>
          </cell>
          <cell r="E18">
            <v>58355.697384750303</v>
          </cell>
        </row>
        <row r="19">
          <cell r="B19">
            <v>2011</v>
          </cell>
          <cell r="C19">
            <v>57121.335085712228</v>
          </cell>
          <cell r="E19">
            <v>59074.17072895501</v>
          </cell>
        </row>
        <row r="20">
          <cell r="B20">
            <v>2010</v>
          </cell>
          <cell r="C20">
            <v>57828.21160739792</v>
          </cell>
          <cell r="E20">
            <v>59779.335467031524</v>
          </cell>
        </row>
        <row r="21">
          <cell r="B21">
            <v>2009</v>
          </cell>
          <cell r="C21">
            <v>58522.150146686698</v>
          </cell>
          <cell r="E21">
            <v>60470.498830445264</v>
          </cell>
        </row>
        <row r="22">
          <cell r="B22">
            <v>2008</v>
          </cell>
          <cell r="C22">
            <v>59202.47014214193</v>
          </cell>
          <cell r="E22">
            <v>61146.975273960576</v>
          </cell>
        </row>
        <row r="23">
          <cell r="B23">
            <v>2007</v>
          </cell>
          <cell r="C23">
            <v>59868.497931241029</v>
          </cell>
          <cell r="E23">
            <v>61808.087592968404</v>
          </cell>
        </row>
        <row r="24">
          <cell r="B24">
            <v>2006</v>
          </cell>
          <cell r="C24">
            <v>60519.567846243277</v>
          </cell>
          <cell r="E24">
            <v>62453.168038930744</v>
          </cell>
        </row>
        <row r="25">
          <cell r="B25">
            <v>2005</v>
          </cell>
          <cell r="C25">
            <v>61155.023308628828</v>
          </cell>
          <cell r="E25">
            <v>63081.559430408903</v>
          </cell>
        </row>
        <row r="26">
          <cell r="B26">
            <v>2004</v>
          </cell>
          <cell r="C26">
            <v>61774.217919628696</v>
          </cell>
          <cell r="E26">
            <v>63692.616257122761</v>
          </cell>
        </row>
        <row r="27">
          <cell r="B27">
            <v>2003</v>
          </cell>
          <cell r="C27">
            <v>62376.516544345075</v>
          </cell>
          <cell r="E27">
            <v>64285.705774476111</v>
          </cell>
        </row>
        <row r="28">
          <cell r="B28">
            <v>2002</v>
          </cell>
          <cell r="C28">
            <v>62961.296386948306</v>
          </cell>
          <cell r="E28">
            <v>64860.209085978662</v>
          </cell>
        </row>
        <row r="29">
          <cell r="B29">
            <v>2001</v>
          </cell>
          <cell r="C29">
            <v>63527.948054430839</v>
          </cell>
          <cell r="E29">
            <v>65415.522210998111</v>
          </cell>
        </row>
        <row r="30">
          <cell r="B30">
            <v>2000</v>
          </cell>
          <cell r="C30">
            <v>64075.876606400307</v>
          </cell>
          <cell r="E30">
            <v>65951.05713528661</v>
          </cell>
        </row>
        <row r="31">
          <cell r="B31">
            <v>1999</v>
          </cell>
          <cell r="C31">
            <v>64604.502588403106</v>
          </cell>
          <cell r="E31">
            <v>66466.242841744403</v>
          </cell>
        </row>
        <row r="32">
          <cell r="B32">
            <v>1998</v>
          </cell>
          <cell r="C32">
            <v>65113.263046286782</v>
          </cell>
          <cell r="E32">
            <v>66960.526318909935</v>
          </cell>
        </row>
        <row r="33">
          <cell r="B33">
            <v>1997</v>
          </cell>
          <cell r="C33">
            <v>65601.612519133938</v>
          </cell>
          <cell r="E33">
            <v>67433.373544699454</v>
          </cell>
        </row>
        <row r="34">
          <cell r="B34">
            <v>1996</v>
          </cell>
          <cell r="C34">
            <v>66069.024008332766</v>
          </cell>
          <cell r="E34">
            <v>67884.270442961701</v>
          </cell>
        </row>
        <row r="35">
          <cell r="B35">
            <v>1995</v>
          </cell>
          <cell r="C35">
            <v>66514.989920389009</v>
          </cell>
          <cell r="E35">
            <v>68312.723810462325</v>
          </cell>
        </row>
        <row r="36">
          <cell r="B36">
            <v>1994</v>
          </cell>
          <cell r="C36">
            <v>66939.022981131493</v>
          </cell>
          <cell r="E36">
            <v>68718.262211969966</v>
          </cell>
        </row>
        <row r="37">
          <cell r="B37">
            <v>1993</v>
          </cell>
          <cell r="C37">
            <v>67340.657119018288</v>
          </cell>
          <cell r="E37">
            <v>69100.436841181028</v>
          </cell>
        </row>
        <row r="38">
          <cell r="B38">
            <v>1992</v>
          </cell>
          <cell r="C38">
            <v>67719.448315312766</v>
          </cell>
          <cell r="E38">
            <v>69458.82234529157</v>
          </cell>
        </row>
        <row r="39">
          <cell r="B39">
            <v>1991</v>
          </cell>
          <cell r="C39">
            <v>68074.975418968155</v>
          </cell>
          <cell r="E39">
            <v>69793.017611104355</v>
          </cell>
        </row>
        <row r="40">
          <cell r="B40">
            <v>1990</v>
          </cell>
          <cell r="C40">
            <v>68406.840924135628</v>
          </cell>
          <cell r="E40">
            <v>70102.646510644947</v>
          </cell>
        </row>
        <row r="41">
          <cell r="B41">
            <v>1989</v>
          </cell>
          <cell r="C41">
            <v>68714.671708294234</v>
          </cell>
          <cell r="E41">
            <v>70387.358604353387</v>
          </cell>
        </row>
        <row r="42">
          <cell r="B42">
            <v>1988</v>
          </cell>
          <cell r="C42">
            <v>68998.119729090948</v>
          </cell>
          <cell r="E42">
            <v>70646.829800017571</v>
          </cell>
        </row>
        <row r="43">
          <cell r="B43">
            <v>1987</v>
          </cell>
          <cell r="C43">
            <v>69256.862678075035</v>
          </cell>
          <cell r="E43">
            <v>70880.762965719201</v>
          </cell>
        </row>
        <row r="44">
          <cell r="B44">
            <v>1986</v>
          </cell>
          <cell r="C44">
            <v>69490.604589613533</v>
          </cell>
          <cell r="E44">
            <v>71088.888495174644</v>
          </cell>
        </row>
      </sheetData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982699-2944-4DC9-99A1-8ED955B3C0DE}">
  <sheetPr>
    <pageSetUpPr fitToPage="1"/>
  </sheetPr>
  <dimension ref="A2:W44"/>
  <sheetViews>
    <sheetView view="pageBreakPreview" zoomScale="60" zoomScaleNormal="80" workbookViewId="0">
      <selection activeCell="R21" sqref="R21"/>
    </sheetView>
  </sheetViews>
  <sheetFormatPr defaultRowHeight="15.5" x14ac:dyDescent="0.35"/>
  <cols>
    <col min="1" max="1" width="1.7265625" style="3" customWidth="1"/>
    <col min="2" max="2" width="8.7265625" style="3"/>
    <col min="3" max="3" width="39.1796875" style="3" customWidth="1"/>
    <col min="4" max="4" width="11.36328125" style="3" customWidth="1"/>
    <col min="5" max="5" width="3.6328125" style="3" customWidth="1"/>
    <col min="6" max="6" width="17" style="3" customWidth="1"/>
    <col min="7" max="7" width="3.6328125" style="3" customWidth="1"/>
    <col min="8" max="8" width="20" style="3" customWidth="1"/>
    <col min="9" max="9" width="5.54296875" style="3" hidden="1" customWidth="1"/>
    <col min="10" max="10" width="6.36328125" style="3" hidden="1" customWidth="1"/>
    <col min="11" max="11" width="10.6328125" style="3" hidden="1" customWidth="1"/>
    <col min="12" max="12" width="6" style="25" hidden="1" customWidth="1"/>
    <col min="13" max="13" width="2.08984375" style="3" customWidth="1"/>
    <col min="14" max="14" width="5.7265625" style="3" customWidth="1"/>
    <col min="15" max="15" width="37.6328125" style="3" customWidth="1"/>
    <col min="16" max="16" width="9.6328125" style="3" customWidth="1"/>
    <col min="17" max="17" width="2.36328125" style="3" customWidth="1"/>
    <col min="18" max="18" width="14.90625" style="3" customWidth="1"/>
    <col min="19" max="19" width="1.453125" style="3" customWidth="1"/>
    <col min="20" max="20" width="18.7265625" style="3" customWidth="1"/>
    <col min="21" max="21" width="14.453125" style="3" customWidth="1"/>
    <col min="22" max="22" width="6.453125" style="3" customWidth="1"/>
    <col min="23" max="23" width="12.36328125" style="3" customWidth="1"/>
    <col min="24" max="16384" width="8.7265625" style="3"/>
  </cols>
  <sheetData>
    <row r="2" spans="2:23" s="67" customFormat="1" ht="20.5" x14ac:dyDescent="0.45">
      <c r="C2" s="146" t="s">
        <v>28</v>
      </c>
      <c r="D2" s="146"/>
      <c r="E2" s="146"/>
      <c r="F2" s="146"/>
      <c r="G2" s="146"/>
      <c r="H2" s="146"/>
      <c r="L2" s="68"/>
      <c r="O2" s="146" t="s">
        <v>29</v>
      </c>
      <c r="P2" s="146"/>
      <c r="Q2" s="146"/>
      <c r="R2" s="146"/>
      <c r="S2" s="146"/>
      <c r="T2" s="146"/>
    </row>
    <row r="4" spans="2:23" ht="18" x14ac:dyDescent="0.4">
      <c r="B4" s="147" t="s">
        <v>47</v>
      </c>
      <c r="C4" s="147"/>
      <c r="D4" s="76">
        <v>2002</v>
      </c>
      <c r="N4" s="147" t="s">
        <v>47</v>
      </c>
      <c r="O4" s="147"/>
      <c r="P4" s="76">
        <v>2002</v>
      </c>
    </row>
    <row r="5" spans="2:23" s="1" customFormat="1" ht="18" x14ac:dyDescent="0.4">
      <c r="B5" s="135" t="s">
        <v>0</v>
      </c>
      <c r="C5" s="135"/>
      <c r="D5" s="75">
        <v>0.3</v>
      </c>
      <c r="E5" s="2"/>
      <c r="L5" s="26"/>
      <c r="N5" s="1" t="s">
        <v>1</v>
      </c>
    </row>
    <row r="6" spans="2:23" x14ac:dyDescent="0.35">
      <c r="N6" s="3" t="s">
        <v>2</v>
      </c>
    </row>
    <row r="7" spans="2:23" ht="17.5" x14ac:dyDescent="0.35">
      <c r="F7" s="66" t="s">
        <v>3</v>
      </c>
      <c r="G7" s="66"/>
      <c r="H7" s="66" t="s">
        <v>4</v>
      </c>
      <c r="R7" s="66" t="s">
        <v>3</v>
      </c>
      <c r="S7" s="66"/>
      <c r="T7" s="66" t="s">
        <v>4</v>
      </c>
    </row>
    <row r="8" spans="2:23" x14ac:dyDescent="0.35">
      <c r="J8" s="30" t="s">
        <v>5</v>
      </c>
      <c r="K8" s="30">
        <f ca="1">H19+H25+H27+H31+H34</f>
        <v>65000</v>
      </c>
      <c r="V8" s="30" t="s">
        <v>5</v>
      </c>
      <c r="W8" s="30">
        <f ca="1">T19+T25+T27+T34</f>
        <v>60000</v>
      </c>
    </row>
    <row r="9" spans="2:23" s="18" customFormat="1" ht="20" x14ac:dyDescent="0.4">
      <c r="B9" s="151" t="s">
        <v>6</v>
      </c>
      <c r="C9" s="151" t="s">
        <v>7</v>
      </c>
      <c r="F9" s="21">
        <f>H9/12</f>
        <v>5416.666666666667</v>
      </c>
      <c r="G9" s="21"/>
      <c r="H9" s="152">
        <v>65000</v>
      </c>
      <c r="J9" s="30" t="str">
        <f ca="1">IF(K8=H9,"ok", "NO")</f>
        <v>ok</v>
      </c>
      <c r="K9" s="153"/>
      <c r="L9" s="28"/>
      <c r="N9" s="151" t="s">
        <v>6</v>
      </c>
      <c r="O9" s="151" t="s">
        <v>7</v>
      </c>
      <c r="R9" s="21">
        <f>T9/12</f>
        <v>5000</v>
      </c>
      <c r="S9" s="21"/>
      <c r="T9" s="152">
        <v>60000</v>
      </c>
      <c r="V9" s="30" t="str">
        <f>IF(W9=T10,"ok", "NO")</f>
        <v>ok</v>
      </c>
      <c r="W9" s="153"/>
    </row>
    <row r="10" spans="2:23" x14ac:dyDescent="0.35">
      <c r="F10" s="4"/>
      <c r="G10" s="4"/>
      <c r="H10" s="4"/>
      <c r="R10" s="4"/>
      <c r="S10" s="4"/>
      <c r="T10" s="4"/>
    </row>
    <row r="11" spans="2:23" s="1" customFormat="1" ht="18" x14ac:dyDescent="0.4">
      <c r="B11" s="1" t="s">
        <v>8</v>
      </c>
      <c r="C11" s="1" t="s">
        <v>9</v>
      </c>
      <c r="F11" s="187">
        <v>811</v>
      </c>
      <c r="G11" s="69"/>
      <c r="H11" s="5">
        <f>F11*12</f>
        <v>9732</v>
      </c>
      <c r="L11" s="26"/>
      <c r="N11" s="1" t="s">
        <v>8</v>
      </c>
      <c r="O11" s="1" t="s">
        <v>9</v>
      </c>
      <c r="R11" s="187">
        <v>811</v>
      </c>
      <c r="S11" s="69"/>
      <c r="T11" s="5">
        <f>R11*12</f>
        <v>9732</v>
      </c>
    </row>
    <row r="12" spans="2:23" s="1" customFormat="1" ht="18" x14ac:dyDescent="0.4">
      <c r="F12" s="6"/>
      <c r="G12" s="6"/>
      <c r="H12" s="6"/>
      <c r="L12" s="26"/>
      <c r="R12" s="6"/>
      <c r="S12" s="6"/>
      <c r="T12" s="6"/>
    </row>
    <row r="13" spans="2:23" s="1" customFormat="1" ht="18" x14ac:dyDescent="0.4">
      <c r="B13" s="1" t="s">
        <v>10</v>
      </c>
      <c r="C13" s="1" t="s">
        <v>11</v>
      </c>
      <c r="D13" s="8">
        <v>5.0000000000000001E-3</v>
      </c>
      <c r="F13" s="6">
        <f ca="1">H13/12</f>
        <v>20.469629629629633</v>
      </c>
      <c r="G13" s="6"/>
      <c r="H13" s="7">
        <f ca="1">D13*H22</f>
        <v>245.63555555555556</v>
      </c>
      <c r="L13" s="26"/>
      <c r="N13" s="1" t="s">
        <v>10</v>
      </c>
      <c r="O13" s="1" t="s">
        <v>11</v>
      </c>
      <c r="P13" s="8">
        <v>5.0000000000000001E-3</v>
      </c>
      <c r="R13" s="6">
        <f ca="1">T13/12</f>
        <v>17.951111130477077</v>
      </c>
      <c r="S13" s="6"/>
      <c r="T13" s="7">
        <f ca="1">P13*T22</f>
        <v>215.41333330428438</v>
      </c>
    </row>
    <row r="14" spans="2:23" s="1" customFormat="1" ht="18" x14ac:dyDescent="0.4">
      <c r="C14" s="8"/>
      <c r="D14" s="9"/>
      <c r="E14" s="9"/>
      <c r="F14" s="6"/>
      <c r="G14" s="6"/>
      <c r="H14" s="6"/>
      <c r="L14" s="26"/>
      <c r="O14" s="8"/>
      <c r="P14" s="9"/>
      <c r="Q14" s="9"/>
      <c r="R14" s="6"/>
      <c r="S14" s="6"/>
      <c r="T14" s="6"/>
    </row>
    <row r="15" spans="2:23" s="1" customFormat="1" ht="18" x14ac:dyDescent="0.4">
      <c r="B15" s="1" t="s">
        <v>12</v>
      </c>
      <c r="C15" s="9" t="s">
        <v>13</v>
      </c>
      <c r="D15" s="154">
        <v>0.12</v>
      </c>
      <c r="E15" s="9"/>
      <c r="F15" s="10">
        <f ca="1">H15/12</f>
        <v>491.27111111111117</v>
      </c>
      <c r="G15" s="134"/>
      <c r="H15" s="7">
        <f ca="1">D15*H22</f>
        <v>5895.2533333333331</v>
      </c>
      <c r="L15" s="26"/>
      <c r="N15" s="1" t="s">
        <v>12</v>
      </c>
      <c r="O15" s="9" t="s">
        <v>13</v>
      </c>
      <c r="P15" s="154">
        <v>0.12</v>
      </c>
      <c r="Q15" s="9"/>
      <c r="R15" s="10">
        <f ca="1">T15/12</f>
        <v>430.82666713144977</v>
      </c>
      <c r="S15" s="10"/>
      <c r="T15" s="7">
        <f ca="1">P15*T22</f>
        <v>5169.9199993028251</v>
      </c>
    </row>
    <row r="16" spans="2:23" s="1" customFormat="1" ht="18" x14ac:dyDescent="0.4">
      <c r="C16" s="8"/>
      <c r="D16" s="9"/>
      <c r="E16" s="9"/>
      <c r="F16" s="6"/>
      <c r="G16" s="6"/>
      <c r="H16" s="6"/>
      <c r="L16" s="26"/>
      <c r="O16" s="8"/>
      <c r="P16" s="9"/>
      <c r="Q16" s="9"/>
      <c r="R16" s="6"/>
      <c r="S16" s="6"/>
      <c r="T16" s="6"/>
    </row>
    <row r="17" spans="1:21" s="12" customFormat="1" ht="18" x14ac:dyDescent="0.4">
      <c r="B17" s="3"/>
      <c r="C17" s="11"/>
      <c r="D17" s="11"/>
      <c r="E17" s="11"/>
      <c r="F17" s="4"/>
      <c r="G17" s="4"/>
      <c r="H17" s="4"/>
      <c r="L17" s="27"/>
      <c r="N17" s="1" t="s">
        <v>14</v>
      </c>
      <c r="O17" s="9" t="s">
        <v>15</v>
      </c>
      <c r="P17" s="9"/>
      <c r="Q17" s="9"/>
      <c r="R17" s="6">
        <f>T17/12</f>
        <v>150</v>
      </c>
      <c r="S17" s="6"/>
      <c r="T17" s="13">
        <v>1800</v>
      </c>
    </row>
    <row r="18" spans="1:21" ht="17.5" x14ac:dyDescent="0.35">
      <c r="A18" s="12"/>
      <c r="C18" s="11"/>
      <c r="D18" s="11"/>
      <c r="E18" s="11"/>
      <c r="F18" s="4"/>
      <c r="G18" s="4"/>
      <c r="H18" s="4"/>
      <c r="O18" s="11"/>
      <c r="P18" s="11"/>
      <c r="Q18" s="11"/>
      <c r="R18" s="4"/>
      <c r="S18" s="4"/>
      <c r="T18" s="4"/>
    </row>
    <row r="19" spans="1:21" s="12" customFormat="1" ht="17.5" x14ac:dyDescent="0.35">
      <c r="B19" s="70" t="s">
        <v>16</v>
      </c>
      <c r="C19" s="71"/>
      <c r="D19" s="70"/>
      <c r="E19" s="70"/>
      <c r="F19" s="73">
        <f ca="1">H19/12</f>
        <v>1322.7407407407409</v>
      </c>
      <c r="G19" s="72"/>
      <c r="H19" s="73">
        <f ca="1">SUM(H11:H16)</f>
        <v>15872.888888888887</v>
      </c>
      <c r="L19" s="27"/>
      <c r="N19" s="70" t="s">
        <v>16</v>
      </c>
      <c r="O19" s="71"/>
      <c r="P19" s="70"/>
      <c r="Q19" s="70"/>
      <c r="R19" s="73">
        <f ca="1">T19/12</f>
        <v>1409.7777782619269</v>
      </c>
      <c r="S19" s="72"/>
      <c r="T19" s="74">
        <f ca="1">T11+T13+T15+T17</f>
        <v>16917.333332607108</v>
      </c>
    </row>
    <row r="20" spans="1:21" ht="17.5" x14ac:dyDescent="0.35">
      <c r="A20" s="12"/>
      <c r="B20" s="14"/>
      <c r="C20" s="12"/>
      <c r="D20" s="14"/>
      <c r="E20" s="14"/>
      <c r="F20" s="15"/>
      <c r="G20" s="15"/>
      <c r="H20" s="16"/>
      <c r="N20" s="14"/>
      <c r="O20" s="12"/>
      <c r="P20" s="14"/>
      <c r="Q20" s="14"/>
      <c r="R20" s="15"/>
      <c r="S20" s="15"/>
      <c r="T20" s="16"/>
    </row>
    <row r="21" spans="1:21" ht="17.5" x14ac:dyDescent="0.35">
      <c r="B21" s="14"/>
      <c r="C21" s="12"/>
      <c r="D21" s="14"/>
      <c r="E21" s="14"/>
      <c r="F21" s="15"/>
      <c r="G21" s="15"/>
      <c r="H21" s="16"/>
      <c r="O21" s="11"/>
      <c r="P21" s="11"/>
      <c r="Q21" s="11"/>
      <c r="R21" s="4"/>
      <c r="S21" s="4"/>
      <c r="T21" s="4"/>
    </row>
    <row r="22" spans="1:21" s="1" customFormat="1" ht="18" x14ac:dyDescent="0.4">
      <c r="A22" s="12"/>
      <c r="B22" s="136" t="s">
        <v>17</v>
      </c>
      <c r="C22" s="136"/>
      <c r="D22" s="136"/>
      <c r="E22" s="136"/>
      <c r="F22" s="17">
        <f ca="1">H22/12</f>
        <v>4093.9259259259256</v>
      </c>
      <c r="G22" s="17"/>
      <c r="H22" s="17">
        <f ca="1">H9-H19</f>
        <v>49127.111111111109</v>
      </c>
      <c r="L22" s="26"/>
      <c r="N22" s="136" t="s">
        <v>17</v>
      </c>
      <c r="O22" s="136"/>
      <c r="P22" s="136"/>
      <c r="Q22" s="136"/>
      <c r="R22" s="17">
        <f ca="1">T22/12</f>
        <v>3590.2222217380731</v>
      </c>
      <c r="S22" s="17"/>
      <c r="T22" s="17">
        <f ca="1">T9-T19</f>
        <v>43082.666667392892</v>
      </c>
    </row>
    <row r="23" spans="1:21" s="1" customFormat="1" ht="18" x14ac:dyDescent="0.4">
      <c r="A23" s="3"/>
      <c r="B23" s="3"/>
      <c r="C23" s="11"/>
      <c r="D23" s="11"/>
      <c r="E23" s="11"/>
      <c r="F23" s="4"/>
      <c r="G23" s="4"/>
      <c r="H23" s="4"/>
      <c r="L23" s="26"/>
      <c r="N23" s="3"/>
      <c r="O23" s="11"/>
      <c r="P23" s="11"/>
      <c r="Q23" s="11"/>
      <c r="R23" s="4"/>
      <c r="S23" s="4"/>
      <c r="T23" s="4"/>
    </row>
    <row r="24" spans="1:21" s="1" customFormat="1" ht="18" x14ac:dyDescent="0.4">
      <c r="A24" s="3"/>
      <c r="B24" s="3"/>
      <c r="C24" s="11"/>
      <c r="D24" s="11"/>
      <c r="E24" s="11"/>
      <c r="F24" s="4"/>
      <c r="G24" s="4"/>
      <c r="H24" s="4"/>
      <c r="L24" s="26"/>
      <c r="N24" s="3"/>
      <c r="O24" s="11"/>
      <c r="P24" s="11"/>
      <c r="Q24" s="11"/>
      <c r="R24" s="4"/>
      <c r="S24" s="4"/>
      <c r="T24" s="4"/>
    </row>
    <row r="25" spans="1:21" ht="18" x14ac:dyDescent="0.4">
      <c r="A25" s="1"/>
      <c r="B25" s="1" t="s">
        <v>18</v>
      </c>
      <c r="C25" s="9" t="s">
        <v>56</v>
      </c>
      <c r="D25" s="9"/>
      <c r="E25" s="9"/>
      <c r="F25" s="6">
        <f ca="1">H25/12</f>
        <v>290.92924601331475</v>
      </c>
      <c r="G25" s="6"/>
      <c r="H25" s="6">
        <f ca="1">((H22-H25)*0.0765)</f>
        <v>3491.1509521597768</v>
      </c>
      <c r="N25" s="1" t="s">
        <v>18</v>
      </c>
      <c r="O25" s="9" t="s">
        <v>56</v>
      </c>
      <c r="P25" s="9"/>
      <c r="Q25" s="9"/>
      <c r="R25" s="6">
        <f ca="1">T25/12</f>
        <v>308.94488324897702</v>
      </c>
      <c r="S25" s="6"/>
      <c r="T25" s="6">
        <f ca="1">((T34+U31)*0.0765)</f>
        <v>3707.338580594449</v>
      </c>
    </row>
    <row r="26" spans="1:21" s="18" customFormat="1" ht="20" x14ac:dyDescent="0.4">
      <c r="A26" s="1"/>
      <c r="B26" s="1"/>
      <c r="C26" s="9"/>
      <c r="D26" s="9"/>
      <c r="E26" s="9"/>
      <c r="F26" s="6"/>
      <c r="G26" s="6"/>
      <c r="H26" s="6"/>
      <c r="L26" s="28"/>
      <c r="N26" s="1"/>
      <c r="O26" s="9"/>
      <c r="P26" s="9"/>
      <c r="Q26" s="9"/>
      <c r="R26" s="6"/>
      <c r="S26" s="6"/>
      <c r="T26" s="6"/>
    </row>
    <row r="27" spans="1:21" ht="18" x14ac:dyDescent="0.4">
      <c r="A27" s="1"/>
      <c r="B27" s="1" t="s">
        <v>19</v>
      </c>
      <c r="C27" s="9" t="s">
        <v>20</v>
      </c>
      <c r="D27" s="9"/>
      <c r="E27" s="9"/>
      <c r="F27" s="6">
        <f>H27/12</f>
        <v>0</v>
      </c>
      <c r="G27" s="6"/>
      <c r="H27" s="155"/>
      <c r="N27" s="1" t="s">
        <v>19</v>
      </c>
      <c r="O27" s="9" t="s">
        <v>20</v>
      </c>
      <c r="P27" s="9"/>
      <c r="Q27" s="9"/>
      <c r="R27" s="6">
        <f>T27/12</f>
        <v>0</v>
      </c>
      <c r="S27" s="6"/>
      <c r="T27" s="155"/>
    </row>
    <row r="28" spans="1:21" s="1" customFormat="1" ht="18" x14ac:dyDescent="0.4">
      <c r="A28" s="3"/>
      <c r="B28" s="3"/>
      <c r="C28" s="11"/>
      <c r="D28" s="11"/>
      <c r="E28" s="11"/>
      <c r="F28" s="4"/>
      <c r="G28" s="4"/>
      <c r="H28" s="19"/>
      <c r="L28" s="26"/>
      <c r="N28" s="3"/>
      <c r="O28" s="11"/>
      <c r="P28" s="11"/>
      <c r="Q28" s="11"/>
      <c r="R28" s="4"/>
      <c r="S28" s="4"/>
      <c r="T28" s="19"/>
    </row>
    <row r="29" spans="1:21" s="161" customFormat="1" ht="23" x14ac:dyDescent="0.5">
      <c r="A29" s="156"/>
      <c r="B29" s="157" t="s">
        <v>21</v>
      </c>
      <c r="C29" s="158"/>
      <c r="D29" s="157"/>
      <c r="E29" s="157"/>
      <c r="F29" s="159"/>
      <c r="G29" s="159"/>
      <c r="H29" s="160">
        <f ca="1">H22-H25-H27</f>
        <v>45635.960158951333</v>
      </c>
      <c r="L29" s="162"/>
      <c r="N29" s="163" t="s">
        <v>21</v>
      </c>
      <c r="O29" s="156"/>
      <c r="P29" s="163"/>
      <c r="Q29" s="163"/>
      <c r="R29" s="164"/>
      <c r="S29" s="164"/>
      <c r="T29" s="165"/>
    </row>
    <row r="30" spans="1:21" x14ac:dyDescent="0.35">
      <c r="C30" s="11"/>
      <c r="D30" s="11"/>
      <c r="E30" s="11"/>
      <c r="F30" s="4"/>
      <c r="G30" s="4"/>
      <c r="H30" s="19"/>
      <c r="O30" s="11"/>
      <c r="P30" s="11"/>
      <c r="Q30" s="11"/>
      <c r="R30" s="4"/>
      <c r="S30" s="4"/>
      <c r="T30" s="19"/>
    </row>
    <row r="31" spans="1:21" s="18" customFormat="1" ht="20" x14ac:dyDescent="0.4">
      <c r="A31" s="1"/>
      <c r="B31" s="1" t="s">
        <v>22</v>
      </c>
      <c r="C31" s="9" t="s">
        <v>57</v>
      </c>
      <c r="D31" s="9"/>
      <c r="E31" s="9"/>
      <c r="F31" s="6">
        <f ca="1">H31/12</f>
        <v>877.61461844137182</v>
      </c>
      <c r="G31" s="6"/>
      <c r="H31" s="23">
        <f ca="1">D5/(D5+1)*(H22-H27-H25)</f>
        <v>10531.375421296461</v>
      </c>
      <c r="L31" s="28"/>
      <c r="N31" s="1" t="s">
        <v>22</v>
      </c>
      <c r="O31" s="9" t="s">
        <v>23</v>
      </c>
      <c r="P31" s="9"/>
      <c r="Q31" s="9"/>
      <c r="R31" s="6"/>
      <c r="S31" s="6"/>
      <c r="U31" s="23">
        <f ca="1">0.3/1.3*(T22-T25-T27)</f>
        <v>9086.6141738765637</v>
      </c>
    </row>
    <row r="32" spans="1:21" x14ac:dyDescent="0.35">
      <c r="C32" s="11" t="s">
        <v>24</v>
      </c>
      <c r="D32" s="11"/>
      <c r="E32" s="11"/>
      <c r="F32" s="4"/>
      <c r="G32" s="4"/>
      <c r="H32" s="4"/>
      <c r="O32" s="11" t="s">
        <v>24</v>
      </c>
      <c r="P32" s="11"/>
      <c r="Q32" s="11"/>
      <c r="R32" s="4"/>
      <c r="S32" s="4"/>
      <c r="T32" s="4"/>
    </row>
    <row r="33" spans="1:20" x14ac:dyDescent="0.35">
      <c r="C33" s="11"/>
      <c r="D33" s="11"/>
      <c r="E33" s="11"/>
      <c r="F33" s="4"/>
      <c r="G33" s="4"/>
      <c r="H33" s="166"/>
      <c r="K33" s="24"/>
      <c r="L33" s="29"/>
      <c r="M33" s="31"/>
      <c r="O33" s="11"/>
      <c r="P33" s="11"/>
      <c r="Q33" s="11"/>
      <c r="R33" s="4"/>
      <c r="S33" s="4"/>
      <c r="T33" s="166"/>
    </row>
    <row r="34" spans="1:20" ht="23" x14ac:dyDescent="0.5">
      <c r="A34" s="18"/>
      <c r="B34" s="158" t="s">
        <v>25</v>
      </c>
      <c r="C34" s="157" t="s">
        <v>26</v>
      </c>
      <c r="D34" s="157"/>
      <c r="E34" s="157"/>
      <c r="F34" s="159">
        <f ca="1">H34/12</f>
        <v>2925.382061471239</v>
      </c>
      <c r="G34" s="159"/>
      <c r="H34" s="167">
        <f ca="1">H22-H31-H27-H25</f>
        <v>35104.58473765487</v>
      </c>
      <c r="I34" s="161"/>
      <c r="J34" s="161"/>
      <c r="K34" s="161"/>
      <c r="L34" s="162"/>
      <c r="M34" s="161"/>
      <c r="N34" s="158" t="s">
        <v>25</v>
      </c>
      <c r="O34" s="157" t="s">
        <v>26</v>
      </c>
      <c r="P34" s="157"/>
      <c r="Q34" s="157"/>
      <c r="R34" s="159">
        <f ca="1">T34/12</f>
        <v>3281.2773384890957</v>
      </c>
      <c r="S34" s="159"/>
      <c r="T34" s="167">
        <f ca="1">T22-T25-T27</f>
        <v>39375.328086798443</v>
      </c>
    </row>
    <row r="35" spans="1:20" ht="17.5" customHeight="1" x14ac:dyDescent="0.35">
      <c r="C35" s="11"/>
      <c r="D35" s="11"/>
      <c r="E35" s="11"/>
      <c r="F35" s="4"/>
      <c r="G35" s="4"/>
      <c r="H35" s="4"/>
    </row>
    <row r="36" spans="1:20" ht="17.5" customHeight="1" x14ac:dyDescent="0.35">
      <c r="C36" s="11"/>
      <c r="D36" s="11"/>
      <c r="E36" s="11"/>
      <c r="F36" s="4"/>
      <c r="G36" s="4"/>
      <c r="H36" s="4"/>
    </row>
    <row r="37" spans="1:20" s="168" customFormat="1" ht="17.5" customHeight="1" x14ac:dyDescent="0.45">
      <c r="C37" s="169" t="s">
        <v>58</v>
      </c>
      <c r="D37" s="170">
        <f>VLOOKUP(D4,'[1]2026 Minister Salary Table'!$B4:$E44,2,FALSE)</f>
        <v>62961.296386948306</v>
      </c>
      <c r="E37" s="169"/>
      <c r="F37" s="171"/>
      <c r="G37" s="171"/>
      <c r="H37" s="169"/>
      <c r="L37" s="172"/>
      <c r="O37" s="169" t="s">
        <v>58</v>
      </c>
      <c r="Q37" s="169"/>
      <c r="R37" s="170">
        <f>VLOOKUP(P4,'[1]2026 Minister Salary Table'!$B4:$E44,2,FALSE)</f>
        <v>62961.296386948306</v>
      </c>
      <c r="S37" s="171"/>
      <c r="T37" s="169"/>
    </row>
    <row r="38" spans="1:20" s="168" customFormat="1" ht="17.5" customHeight="1" x14ac:dyDescent="0.45">
      <c r="C38" s="169" t="s">
        <v>46</v>
      </c>
      <c r="D38" s="173">
        <f ca="1">H34/D37</f>
        <v>0.55755816274666081</v>
      </c>
      <c r="E38" s="169"/>
      <c r="F38" s="171"/>
      <c r="G38" s="171"/>
      <c r="H38" s="171"/>
      <c r="L38" s="172"/>
      <c r="O38" s="169" t="s">
        <v>46</v>
      </c>
      <c r="R38" s="173">
        <f ca="1">T34/R37</f>
        <v>0.62538941137433179</v>
      </c>
    </row>
    <row r="39" spans="1:20" x14ac:dyDescent="0.35">
      <c r="C39" s="11"/>
      <c r="D39" s="11"/>
      <c r="E39" s="11"/>
      <c r="F39" s="4"/>
      <c r="G39" s="4"/>
      <c r="H39" s="4"/>
    </row>
    <row r="41" spans="1:20" ht="27" customHeight="1" x14ac:dyDescent="0.35">
      <c r="B41" s="65" t="s">
        <v>27</v>
      </c>
      <c r="C41" s="174" t="s">
        <v>59</v>
      </c>
      <c r="D41" s="175"/>
      <c r="E41" s="175"/>
      <c r="F41" s="175"/>
      <c r="G41" s="175"/>
      <c r="H41" s="176"/>
      <c r="N41" s="65" t="s">
        <v>27</v>
      </c>
      <c r="O41" s="174" t="s">
        <v>59</v>
      </c>
      <c r="P41" s="175"/>
      <c r="Q41" s="175"/>
      <c r="R41" s="175"/>
      <c r="S41" s="175"/>
      <c r="T41" s="176"/>
    </row>
    <row r="42" spans="1:20" ht="18" customHeight="1" x14ac:dyDescent="0.35">
      <c r="C42" s="177"/>
      <c r="D42" s="178"/>
      <c r="E42" s="178"/>
      <c r="F42" s="178"/>
      <c r="G42" s="178"/>
      <c r="H42" s="179"/>
      <c r="O42" s="177"/>
      <c r="P42" s="178"/>
      <c r="Q42" s="178"/>
      <c r="R42" s="178"/>
      <c r="S42" s="178"/>
      <c r="T42" s="179"/>
    </row>
    <row r="43" spans="1:20" ht="18" customHeight="1" x14ac:dyDescent="0.35">
      <c r="C43" s="177"/>
      <c r="D43" s="178"/>
      <c r="E43" s="178"/>
      <c r="F43" s="178"/>
      <c r="G43" s="178"/>
      <c r="H43" s="179"/>
      <c r="O43" s="177"/>
      <c r="P43" s="178"/>
      <c r="Q43" s="178"/>
      <c r="R43" s="178"/>
      <c r="S43" s="178"/>
      <c r="T43" s="179"/>
    </row>
    <row r="44" spans="1:20" ht="35.5" customHeight="1" x14ac:dyDescent="0.35">
      <c r="C44" s="180"/>
      <c r="D44" s="181"/>
      <c r="E44" s="181"/>
      <c r="F44" s="181"/>
      <c r="G44" s="181"/>
      <c r="H44" s="182"/>
      <c r="O44" s="180"/>
      <c r="P44" s="181"/>
      <c r="Q44" s="181"/>
      <c r="R44" s="181"/>
      <c r="S44" s="181"/>
      <c r="T44" s="182"/>
    </row>
  </sheetData>
  <mergeCells count="9">
    <mergeCell ref="C41:H44"/>
    <mergeCell ref="O41:T44"/>
    <mergeCell ref="C2:H2"/>
    <mergeCell ref="O2:T2"/>
    <mergeCell ref="B4:C4"/>
    <mergeCell ref="N4:O4"/>
    <mergeCell ref="B5:C5"/>
    <mergeCell ref="B22:E22"/>
    <mergeCell ref="N22:Q22"/>
  </mergeCells>
  <pageMargins left="0.7" right="0.7" top="0.75" bottom="0.75" header="0.3" footer="0.3"/>
  <pageSetup scale="80" fitToWidth="0" orientation="portrait" horizontalDpi="4294967293" verticalDpi="4294967293" r:id="rId1"/>
  <colBreaks count="1" manualBreakCount="1">
    <brk id="12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CC9D08-7659-456F-84B8-8C84FBC86772}">
  <sheetPr>
    <pageSetUpPr fitToPage="1"/>
  </sheetPr>
  <dimension ref="A2:W44"/>
  <sheetViews>
    <sheetView tabSelected="1" view="pageBreakPreview" topLeftCell="A2" zoomScale="70" zoomScaleNormal="80" zoomScaleSheetLayoutView="70" workbookViewId="0">
      <selection activeCell="O26" sqref="O26"/>
    </sheetView>
  </sheetViews>
  <sheetFormatPr defaultRowHeight="15.5" x14ac:dyDescent="0.35"/>
  <cols>
    <col min="1" max="1" width="1.7265625" style="3" customWidth="1"/>
    <col min="2" max="2" width="7.36328125" style="3" customWidth="1"/>
    <col min="3" max="3" width="40.36328125" style="3" customWidth="1"/>
    <col min="4" max="4" width="11.36328125" style="3" customWidth="1"/>
    <col min="5" max="5" width="3.6328125" style="3" customWidth="1"/>
    <col min="6" max="6" width="17" style="3" customWidth="1"/>
    <col min="7" max="7" width="3.6328125" style="3" customWidth="1"/>
    <col min="8" max="8" width="20" style="3" customWidth="1"/>
    <col min="9" max="9" width="5.54296875" style="3" hidden="1" customWidth="1"/>
    <col min="10" max="10" width="6.36328125" style="3" hidden="1" customWidth="1"/>
    <col min="11" max="11" width="10.6328125" style="3" hidden="1" customWidth="1"/>
    <col min="12" max="12" width="6" style="25" hidden="1" customWidth="1"/>
    <col min="13" max="13" width="2.08984375" style="3" customWidth="1"/>
    <col min="14" max="14" width="7.36328125" style="3" customWidth="1"/>
    <col min="15" max="15" width="41" style="3" customWidth="1"/>
    <col min="16" max="16" width="9.453125" style="3" customWidth="1"/>
    <col min="17" max="17" width="2.36328125" style="3" customWidth="1"/>
    <col min="18" max="18" width="14.90625" style="3" customWidth="1"/>
    <col min="19" max="19" width="1.453125" style="3" customWidth="1"/>
    <col min="20" max="20" width="14.90625" style="3" customWidth="1"/>
    <col min="21" max="21" width="14.453125" style="3" customWidth="1"/>
    <col min="22" max="22" width="6.453125" style="3" customWidth="1"/>
    <col min="23" max="23" width="12.36328125" style="3" customWidth="1"/>
    <col min="24" max="16384" width="8.7265625" style="3"/>
  </cols>
  <sheetData>
    <row r="2" spans="2:23" s="67" customFormat="1" ht="20.5" x14ac:dyDescent="0.45">
      <c r="C2" s="146" t="s">
        <v>28</v>
      </c>
      <c r="D2" s="146"/>
      <c r="E2" s="146"/>
      <c r="F2" s="146"/>
      <c r="G2" s="146"/>
      <c r="H2" s="146"/>
      <c r="L2" s="68"/>
      <c r="O2" s="146" t="s">
        <v>29</v>
      </c>
      <c r="P2" s="146"/>
      <c r="Q2" s="146"/>
      <c r="R2" s="146"/>
      <c r="S2" s="146"/>
      <c r="T2" s="146"/>
    </row>
    <row r="4" spans="2:23" ht="18" x14ac:dyDescent="0.4">
      <c r="B4" s="147" t="s">
        <v>47</v>
      </c>
      <c r="C4" s="147"/>
      <c r="D4" s="76">
        <v>2002</v>
      </c>
      <c r="N4" s="147" t="s">
        <v>47</v>
      </c>
      <c r="O4" s="147"/>
      <c r="P4" s="76">
        <v>2002</v>
      </c>
    </row>
    <row r="5" spans="2:23" s="1" customFormat="1" ht="18" x14ac:dyDescent="0.4">
      <c r="B5" s="135" t="s">
        <v>0</v>
      </c>
      <c r="C5" s="135"/>
      <c r="D5" s="75">
        <v>0.3</v>
      </c>
      <c r="E5" s="2"/>
      <c r="L5" s="26"/>
      <c r="N5" s="1" t="s">
        <v>1</v>
      </c>
    </row>
    <row r="6" spans="2:23" x14ac:dyDescent="0.35">
      <c r="N6" s="3" t="s">
        <v>2</v>
      </c>
    </row>
    <row r="7" spans="2:23" ht="17.5" x14ac:dyDescent="0.35">
      <c r="F7" s="66" t="s">
        <v>3</v>
      </c>
      <c r="G7" s="66"/>
      <c r="H7" s="66" t="s">
        <v>4</v>
      </c>
      <c r="R7" s="66" t="s">
        <v>3</v>
      </c>
      <c r="S7" s="66"/>
      <c r="T7" s="66" t="s">
        <v>4</v>
      </c>
    </row>
    <row r="8" spans="2:23" x14ac:dyDescent="0.35">
      <c r="J8" s="30" t="s">
        <v>5</v>
      </c>
      <c r="K8" s="30">
        <f ca="1">H19+H25+H27+H31+H34</f>
        <v>64999.999999999993</v>
      </c>
      <c r="V8" s="30" t="s">
        <v>5</v>
      </c>
      <c r="W8" s="30">
        <f ca="1">T19+T25+T27+T34</f>
        <v>60000</v>
      </c>
    </row>
    <row r="9" spans="2:23" s="77" customFormat="1" ht="23" x14ac:dyDescent="0.5">
      <c r="B9" s="77" t="s">
        <v>6</v>
      </c>
      <c r="C9" s="77" t="s">
        <v>7</v>
      </c>
      <c r="F9" s="78">
        <f>H9/12</f>
        <v>5416.666666666667</v>
      </c>
      <c r="G9" s="78"/>
      <c r="H9" s="79">
        <v>65000</v>
      </c>
      <c r="J9" s="80" t="str">
        <f ca="1">IF(K8=H9,"ok", "NO")</f>
        <v>ok</v>
      </c>
      <c r="K9" s="81"/>
      <c r="L9" s="82"/>
      <c r="N9" s="77" t="s">
        <v>6</v>
      </c>
      <c r="O9" s="77" t="s">
        <v>7</v>
      </c>
      <c r="R9" s="78">
        <f>T9/12</f>
        <v>5000</v>
      </c>
      <c r="S9" s="78"/>
      <c r="T9" s="79">
        <v>60000</v>
      </c>
      <c r="V9" s="80" t="str">
        <f>IF(W9=T10,"ok", "NO")</f>
        <v>ok</v>
      </c>
      <c r="W9" s="81"/>
    </row>
    <row r="10" spans="2:23" x14ac:dyDescent="0.35">
      <c r="F10" s="4"/>
      <c r="G10" s="4"/>
      <c r="H10" s="4"/>
      <c r="R10" s="4"/>
      <c r="S10" s="4"/>
      <c r="T10" s="4"/>
    </row>
    <row r="11" spans="2:23" s="1" customFormat="1" ht="18" x14ac:dyDescent="0.4">
      <c r="B11" s="1" t="s">
        <v>8</v>
      </c>
      <c r="C11" s="1" t="s">
        <v>9</v>
      </c>
      <c r="F11" s="91">
        <v>811</v>
      </c>
      <c r="G11" s="69"/>
      <c r="H11" s="5">
        <f>F11*12</f>
        <v>9732</v>
      </c>
      <c r="L11" s="26"/>
      <c r="N11" s="1" t="s">
        <v>8</v>
      </c>
      <c r="O11" s="1" t="s">
        <v>9</v>
      </c>
      <c r="R11" s="91">
        <f>811</f>
        <v>811</v>
      </c>
      <c r="S11" s="69"/>
      <c r="T11" s="5">
        <f>R11*12</f>
        <v>9732</v>
      </c>
    </row>
    <row r="12" spans="2:23" s="1" customFormat="1" ht="18" x14ac:dyDescent="0.4">
      <c r="F12" s="6"/>
      <c r="G12" s="6"/>
      <c r="H12" s="6"/>
      <c r="L12" s="26"/>
      <c r="R12" s="6"/>
      <c r="S12" s="6"/>
      <c r="T12" s="6"/>
    </row>
    <row r="13" spans="2:23" s="1" customFormat="1" ht="18" x14ac:dyDescent="0.4">
      <c r="B13" s="1" t="s">
        <v>10</v>
      </c>
      <c r="C13" s="1" t="s">
        <v>11</v>
      </c>
      <c r="F13" s="6">
        <f ca="1">H13/12</f>
        <v>20.46962962962963</v>
      </c>
      <c r="G13" s="6"/>
      <c r="H13" s="7">
        <f ca="1">C14*H22</f>
        <v>245.63555555555556</v>
      </c>
      <c r="L13" s="26"/>
      <c r="N13" s="1" t="s">
        <v>10</v>
      </c>
      <c r="O13" s="1" t="s">
        <v>11</v>
      </c>
      <c r="R13" s="6">
        <f ca="1">T13/12</f>
        <v>17.951111111111114</v>
      </c>
      <c r="S13" s="6"/>
      <c r="T13" s="7">
        <f ca="1">O14*T22</f>
        <v>215.41333333333333</v>
      </c>
    </row>
    <row r="14" spans="2:23" s="1" customFormat="1" ht="18" x14ac:dyDescent="0.4">
      <c r="C14" s="8">
        <v>5.0000000000000001E-3</v>
      </c>
      <c r="D14" s="9"/>
      <c r="E14" s="9"/>
      <c r="F14" s="6"/>
      <c r="G14" s="6"/>
      <c r="H14" s="6"/>
      <c r="L14" s="26"/>
      <c r="O14" s="8">
        <v>5.0000000000000001E-3</v>
      </c>
      <c r="P14" s="9"/>
      <c r="Q14" s="9"/>
      <c r="R14" s="6"/>
      <c r="S14" s="6"/>
      <c r="T14" s="6"/>
    </row>
    <row r="15" spans="2:23" s="1" customFormat="1" ht="18" x14ac:dyDescent="0.4">
      <c r="B15" s="1" t="s">
        <v>12</v>
      </c>
      <c r="C15" s="9" t="s">
        <v>13</v>
      </c>
      <c r="D15" s="154">
        <v>0.12</v>
      </c>
      <c r="E15" s="9"/>
      <c r="F15" s="10">
        <f ca="1">H15/12</f>
        <v>491.27111111111111</v>
      </c>
      <c r="G15" s="134"/>
      <c r="H15" s="7">
        <f ca="1">D15*H22</f>
        <v>5895.2533333333331</v>
      </c>
      <c r="L15" s="26"/>
      <c r="N15" s="1" t="s">
        <v>12</v>
      </c>
      <c r="O15" s="9" t="s">
        <v>13</v>
      </c>
      <c r="P15" s="154">
        <v>0.12</v>
      </c>
      <c r="Q15" s="9"/>
      <c r="R15" s="10">
        <f ca="1">T15/12</f>
        <v>430.82666666666665</v>
      </c>
      <c r="S15" s="10"/>
      <c r="T15" s="7">
        <f ca="1">P15*T22</f>
        <v>5169.9199999999992</v>
      </c>
    </row>
    <row r="16" spans="2:23" s="1" customFormat="1" ht="18" x14ac:dyDescent="0.4">
      <c r="C16" s="186"/>
      <c r="D16" s="9"/>
      <c r="E16" s="9"/>
      <c r="F16" s="6"/>
      <c r="G16" s="6"/>
      <c r="H16" s="6"/>
      <c r="L16" s="26"/>
      <c r="O16" s="186"/>
      <c r="P16" s="9"/>
      <c r="Q16" s="9"/>
      <c r="R16" s="6"/>
      <c r="S16" s="6"/>
      <c r="T16" s="6"/>
    </row>
    <row r="17" spans="1:21" s="12" customFormat="1" ht="18" x14ac:dyDescent="0.4">
      <c r="B17" s="3"/>
      <c r="C17" s="11"/>
      <c r="D17" s="11"/>
      <c r="E17" s="11"/>
      <c r="F17" s="4"/>
      <c r="G17" s="4"/>
      <c r="H17" s="4"/>
      <c r="L17" s="27"/>
      <c r="N17" s="1" t="s">
        <v>14</v>
      </c>
      <c r="O17" s="9" t="s">
        <v>15</v>
      </c>
      <c r="P17" s="9"/>
      <c r="Q17" s="9"/>
      <c r="R17" s="6">
        <f>T17/12</f>
        <v>150</v>
      </c>
      <c r="S17" s="6"/>
      <c r="T17" s="13">
        <v>1800</v>
      </c>
    </row>
    <row r="18" spans="1:21" ht="17.5" x14ac:dyDescent="0.35">
      <c r="A18" s="12"/>
      <c r="C18" s="11"/>
      <c r="D18" s="11"/>
      <c r="E18" s="11"/>
      <c r="F18" s="4"/>
      <c r="G18" s="4"/>
      <c r="H18" s="4"/>
      <c r="O18" s="11"/>
      <c r="P18" s="11"/>
      <c r="Q18" s="11"/>
      <c r="R18" s="4"/>
      <c r="S18" s="4"/>
      <c r="T18" s="4"/>
    </row>
    <row r="19" spans="1:21" s="12" customFormat="1" ht="17.5" x14ac:dyDescent="0.35">
      <c r="B19" s="70" t="s">
        <v>16</v>
      </c>
      <c r="C19" s="71"/>
      <c r="D19" s="70"/>
      <c r="E19" s="70"/>
      <c r="F19" s="72">
        <f ca="1">H19/12</f>
        <v>1322.7407407407406</v>
      </c>
      <c r="G19" s="72"/>
      <c r="H19" s="72">
        <f ca="1">SUM(H11:H16)</f>
        <v>15872.888888888887</v>
      </c>
      <c r="L19" s="27"/>
      <c r="N19" s="70" t="s">
        <v>16</v>
      </c>
      <c r="O19" s="71"/>
      <c r="P19" s="70"/>
      <c r="Q19" s="70"/>
      <c r="R19" s="73">
        <f ca="1">T19/12</f>
        <v>1409.7777777777781</v>
      </c>
      <c r="S19" s="72"/>
      <c r="T19" s="74">
        <f ca="1">T11+T13+T15+T17</f>
        <v>16917.333333333332</v>
      </c>
    </row>
    <row r="20" spans="1:21" ht="17.5" x14ac:dyDescent="0.35">
      <c r="A20" s="12"/>
      <c r="B20" s="14"/>
      <c r="C20" s="12"/>
      <c r="D20" s="14"/>
      <c r="E20" s="14"/>
      <c r="F20" s="15"/>
      <c r="G20" s="15"/>
      <c r="H20" s="16"/>
      <c r="N20" s="14"/>
      <c r="O20" s="12"/>
      <c r="P20" s="14"/>
      <c r="Q20" s="14"/>
      <c r="R20" s="15"/>
      <c r="S20" s="15"/>
      <c r="T20" s="16"/>
    </row>
    <row r="21" spans="1:21" ht="17.5" x14ac:dyDescent="0.35">
      <c r="B21" s="14"/>
      <c r="C21" s="12"/>
      <c r="D21" s="14"/>
      <c r="E21" s="14"/>
      <c r="F21" s="15"/>
      <c r="G21" s="15"/>
      <c r="H21" s="16"/>
      <c r="O21" s="11"/>
      <c r="P21" s="11"/>
      <c r="Q21" s="11"/>
      <c r="R21" s="4"/>
      <c r="S21" s="4"/>
      <c r="T21" s="4"/>
    </row>
    <row r="22" spans="1:21" s="1" customFormat="1" ht="18" x14ac:dyDescent="0.4">
      <c r="A22" s="12"/>
      <c r="B22" s="136" t="s">
        <v>17</v>
      </c>
      <c r="C22" s="136"/>
      <c r="D22" s="136"/>
      <c r="E22" s="136"/>
      <c r="F22" s="17">
        <f ca="1">H22/12</f>
        <v>4093.9259259259256</v>
      </c>
      <c r="G22" s="17"/>
      <c r="H22" s="17">
        <f ca="1">H9-H19</f>
        <v>49127.111111111109</v>
      </c>
      <c r="L22" s="26"/>
      <c r="N22" s="136" t="s">
        <v>17</v>
      </c>
      <c r="O22" s="136"/>
      <c r="P22" s="136"/>
      <c r="Q22" s="136"/>
      <c r="R22" s="17">
        <f ca="1">T22/12</f>
        <v>3590.2222222222222</v>
      </c>
      <c r="S22" s="17"/>
      <c r="T22" s="17">
        <f ca="1">T9-T19</f>
        <v>43082.666666666672</v>
      </c>
    </row>
    <row r="23" spans="1:21" s="1" customFormat="1" ht="18" x14ac:dyDescent="0.4">
      <c r="A23" s="3"/>
      <c r="B23" s="3"/>
      <c r="C23" s="11"/>
      <c r="D23" s="11"/>
      <c r="E23" s="11"/>
      <c r="F23" s="4"/>
      <c r="G23" s="4"/>
      <c r="H23" s="4"/>
      <c r="L23" s="26"/>
      <c r="N23" s="3"/>
      <c r="O23" s="11"/>
      <c r="P23" s="11"/>
      <c r="Q23" s="11"/>
      <c r="R23" s="4"/>
      <c r="S23" s="4"/>
      <c r="T23" s="4"/>
    </row>
    <row r="24" spans="1:21" s="1" customFormat="1" ht="18" x14ac:dyDescent="0.4">
      <c r="A24" s="3"/>
      <c r="B24" s="3"/>
      <c r="C24" s="11"/>
      <c r="D24" s="11"/>
      <c r="E24" s="11"/>
      <c r="F24" s="4"/>
      <c r="G24" s="4"/>
      <c r="H24" s="4"/>
      <c r="L24" s="26"/>
      <c r="N24" s="3"/>
      <c r="O24" s="11"/>
      <c r="P24" s="11"/>
      <c r="Q24" s="11"/>
      <c r="R24" s="4"/>
      <c r="S24" s="4"/>
      <c r="T24" s="4"/>
    </row>
    <row r="25" spans="1:21" ht="18" x14ac:dyDescent="0.4">
      <c r="A25" s="1"/>
      <c r="B25" s="1" t="s">
        <v>18</v>
      </c>
      <c r="C25" s="9" t="s">
        <v>51</v>
      </c>
      <c r="D25" s="9"/>
      <c r="E25" s="9"/>
      <c r="F25" s="6">
        <f ca="1">H25/12</f>
        <v>290.92924601331475</v>
      </c>
      <c r="G25" s="6"/>
      <c r="H25" s="6">
        <f ca="1">((H22-H25)*0.0765)</f>
        <v>3491.1509521597768</v>
      </c>
      <c r="N25" s="1" t="s">
        <v>18</v>
      </c>
      <c r="O25" s="9" t="s">
        <v>52</v>
      </c>
      <c r="P25" s="9"/>
      <c r="Q25" s="9"/>
      <c r="R25" s="6">
        <f ca="1">T25/12</f>
        <v>308.94488188976385</v>
      </c>
      <c r="S25" s="6"/>
      <c r="T25" s="6">
        <f ca="1">((T34+U31)*0.0765)</f>
        <v>3707.338582677165</v>
      </c>
    </row>
    <row r="26" spans="1:21" s="18" customFormat="1" ht="20" x14ac:dyDescent="0.4">
      <c r="A26" s="1"/>
      <c r="B26" s="1"/>
      <c r="C26" s="9"/>
      <c r="D26" s="9"/>
      <c r="E26" s="9"/>
      <c r="F26" s="6"/>
      <c r="G26" s="6"/>
      <c r="H26" s="6"/>
      <c r="L26" s="28"/>
      <c r="N26" s="1"/>
      <c r="O26" s="9"/>
      <c r="P26" s="9"/>
      <c r="Q26" s="9"/>
      <c r="R26" s="6"/>
      <c r="S26" s="6"/>
      <c r="T26" s="6"/>
    </row>
    <row r="27" spans="1:21" ht="18" x14ac:dyDescent="0.4">
      <c r="A27" s="1"/>
      <c r="B27" s="1" t="s">
        <v>19</v>
      </c>
      <c r="C27" s="9" t="s">
        <v>20</v>
      </c>
      <c r="D27" s="9"/>
      <c r="E27" s="9"/>
      <c r="F27" s="6">
        <f>H27/12</f>
        <v>0</v>
      </c>
      <c r="G27" s="6"/>
      <c r="H27" s="13"/>
      <c r="N27" s="1" t="s">
        <v>19</v>
      </c>
      <c r="O27" s="9" t="s">
        <v>20</v>
      </c>
      <c r="P27" s="9"/>
      <c r="Q27" s="9"/>
      <c r="R27" s="6">
        <f>T27/12</f>
        <v>0</v>
      </c>
      <c r="S27" s="6"/>
      <c r="T27" s="13"/>
    </row>
    <row r="28" spans="1:21" s="1" customFormat="1" ht="18" x14ac:dyDescent="0.4">
      <c r="A28" s="3"/>
      <c r="B28" s="3"/>
      <c r="C28" s="11"/>
      <c r="D28" s="11"/>
      <c r="E28" s="11"/>
      <c r="F28" s="4"/>
      <c r="G28" s="4"/>
      <c r="H28" s="19"/>
      <c r="L28" s="26"/>
      <c r="N28" s="3"/>
      <c r="O28" s="11"/>
      <c r="P28" s="11"/>
      <c r="Q28" s="11"/>
      <c r="R28" s="4"/>
      <c r="S28" s="4"/>
      <c r="T28" s="19"/>
    </row>
    <row r="29" spans="1:21" ht="20" x14ac:dyDescent="0.4">
      <c r="A29" s="18"/>
      <c r="B29" s="20" t="s">
        <v>21</v>
      </c>
      <c r="C29" s="18"/>
      <c r="D29" s="20"/>
      <c r="E29" s="20"/>
      <c r="F29" s="21"/>
      <c r="G29" s="21"/>
      <c r="H29" s="22">
        <f ca="1">H22-H25-H27</f>
        <v>45635.960158951333</v>
      </c>
      <c r="N29" s="20" t="s">
        <v>21</v>
      </c>
      <c r="O29" s="18"/>
      <c r="P29" s="20"/>
      <c r="Q29" s="20"/>
      <c r="R29" s="21"/>
      <c r="S29" s="21"/>
      <c r="T29" s="22"/>
    </row>
    <row r="30" spans="1:21" x14ac:dyDescent="0.35">
      <c r="C30" s="11"/>
      <c r="D30" s="11"/>
      <c r="E30" s="11"/>
      <c r="F30" s="4"/>
      <c r="G30" s="4"/>
      <c r="H30" s="19"/>
      <c r="O30" s="11"/>
      <c r="P30" s="11"/>
      <c r="Q30" s="11"/>
      <c r="R30" s="4"/>
      <c r="S30" s="4"/>
      <c r="T30" s="19"/>
    </row>
    <row r="31" spans="1:21" s="18" customFormat="1" ht="20" x14ac:dyDescent="0.4">
      <c r="A31" s="1"/>
      <c r="B31" s="1" t="s">
        <v>22</v>
      </c>
      <c r="C31" s="9" t="s">
        <v>49</v>
      </c>
      <c r="D31" s="9"/>
      <c r="E31" s="9"/>
      <c r="F31" s="6">
        <f ca="1">H31/12</f>
        <v>877.61461844137182</v>
      </c>
      <c r="G31" s="6"/>
      <c r="H31" s="23">
        <f ca="1">D5/(D5+1)*(H22-H25-H27)</f>
        <v>10531.375421296461</v>
      </c>
      <c r="L31" s="28"/>
      <c r="N31" s="1" t="s">
        <v>22</v>
      </c>
      <c r="O31" s="9" t="s">
        <v>23</v>
      </c>
      <c r="P31" s="9"/>
      <c r="Q31" s="9"/>
      <c r="R31" s="6"/>
      <c r="S31" s="6"/>
      <c r="U31" s="23">
        <f ca="1">0.3/1.3*(T22-T25-T27)</f>
        <v>9086.6141732283468</v>
      </c>
    </row>
    <row r="32" spans="1:21" x14ac:dyDescent="0.35">
      <c r="C32" s="11" t="s">
        <v>24</v>
      </c>
      <c r="D32" s="11"/>
      <c r="E32" s="11"/>
      <c r="F32" s="4"/>
      <c r="G32" s="4"/>
      <c r="H32" s="4"/>
      <c r="O32" s="11" t="s">
        <v>24</v>
      </c>
      <c r="P32" s="11"/>
      <c r="Q32" s="11"/>
      <c r="R32" s="4"/>
      <c r="S32" s="4"/>
      <c r="T32" s="4"/>
    </row>
    <row r="33" spans="1:20" x14ac:dyDescent="0.35">
      <c r="C33" s="11"/>
      <c r="D33" s="11"/>
      <c r="E33" s="11"/>
      <c r="F33" s="4"/>
      <c r="G33" s="4"/>
      <c r="H33" s="4"/>
      <c r="K33" s="24"/>
      <c r="L33" s="29"/>
      <c r="M33" s="31"/>
      <c r="O33" s="11"/>
      <c r="P33" s="11"/>
      <c r="Q33" s="11"/>
      <c r="R33" s="4"/>
      <c r="S33" s="4"/>
      <c r="T33" s="4"/>
    </row>
    <row r="34" spans="1:20" s="86" customFormat="1" ht="23" x14ac:dyDescent="0.5">
      <c r="A34" s="77"/>
      <c r="B34" s="83" t="s">
        <v>25</v>
      </c>
      <c r="C34" s="84" t="s">
        <v>26</v>
      </c>
      <c r="D34" s="84"/>
      <c r="E34" s="84"/>
      <c r="F34" s="85">
        <f ca="1">H34/12</f>
        <v>2925.382061471239</v>
      </c>
      <c r="G34" s="85"/>
      <c r="H34" s="167">
        <f ca="1">H22-H31-H27-H25</f>
        <v>35104.58473765487</v>
      </c>
      <c r="L34" s="87"/>
      <c r="N34" s="83" t="s">
        <v>25</v>
      </c>
      <c r="O34" s="84" t="s">
        <v>26</v>
      </c>
      <c r="P34" s="84"/>
      <c r="Q34" s="84"/>
      <c r="R34" s="85">
        <f ca="1">T34/12</f>
        <v>3281.2773403324586</v>
      </c>
      <c r="S34" s="85"/>
      <c r="T34" s="167">
        <f ca="1">T22-T25-T27</f>
        <v>39375.328083989509</v>
      </c>
    </row>
    <row r="35" spans="1:20" ht="17.5" customHeight="1" x14ac:dyDescent="0.35">
      <c r="C35" s="11"/>
      <c r="D35" s="11"/>
      <c r="E35" s="11"/>
      <c r="F35" s="4"/>
      <c r="G35" s="4"/>
      <c r="H35" s="4"/>
    </row>
    <row r="36" spans="1:20" ht="17.5" customHeight="1" x14ac:dyDescent="0.35">
      <c r="C36" s="11"/>
      <c r="D36" s="11"/>
      <c r="E36" s="11"/>
      <c r="F36" s="4"/>
      <c r="G36" s="4"/>
      <c r="H36" s="4"/>
    </row>
    <row r="37" spans="1:20" ht="17.5" customHeight="1" x14ac:dyDescent="0.35">
      <c r="C37" s="14" t="s">
        <v>48</v>
      </c>
      <c r="D37" s="88">
        <f>D4</f>
        <v>2002</v>
      </c>
      <c r="E37" s="89"/>
      <c r="F37" s="90">
        <f>VLOOKUP(D4,'2026 Minister Salary Table'!$B4:$E44,2,FALSE)</f>
        <v>62961.296386948299</v>
      </c>
      <c r="G37" s="4"/>
      <c r="H37" s="11"/>
      <c r="O37" s="14" t="s">
        <v>48</v>
      </c>
      <c r="P37" s="88">
        <f>P4</f>
        <v>2002</v>
      </c>
      <c r="Q37" s="89"/>
      <c r="R37" s="90">
        <f>VLOOKUP(P4,'2026 Minister Salary Table'!$B4:$E44,2,FALSE)</f>
        <v>62961.296386948299</v>
      </c>
      <c r="S37" s="4"/>
      <c r="T37" s="11"/>
    </row>
    <row r="38" spans="1:20" ht="17.5" customHeight="1" x14ac:dyDescent="0.35">
      <c r="C38" s="183" t="s">
        <v>46</v>
      </c>
      <c r="D38" s="184"/>
      <c r="E38" s="185"/>
      <c r="F38" s="183">
        <f ca="1">H34/F37</f>
        <v>0.55755816274666081</v>
      </c>
      <c r="G38" s="4"/>
      <c r="H38" s="4"/>
      <c r="O38" s="183" t="s">
        <v>46</v>
      </c>
      <c r="P38" s="184"/>
      <c r="Q38" s="184"/>
      <c r="R38" s="183">
        <f ca="1">T34/R37</f>
        <v>0.62538941132971815</v>
      </c>
    </row>
    <row r="39" spans="1:20" x14ac:dyDescent="0.35">
      <c r="C39" s="11"/>
      <c r="D39" s="11"/>
      <c r="E39" s="11"/>
      <c r="F39" s="4"/>
      <c r="G39" s="4"/>
      <c r="H39" s="4"/>
    </row>
    <row r="41" spans="1:20" ht="27" customHeight="1" x14ac:dyDescent="0.35">
      <c r="B41" s="65" t="s">
        <v>27</v>
      </c>
      <c r="C41" s="137" t="s">
        <v>50</v>
      </c>
      <c r="D41" s="138"/>
      <c r="E41" s="138"/>
      <c r="F41" s="138"/>
      <c r="G41" s="138"/>
      <c r="H41" s="139"/>
      <c r="N41" s="65" t="s">
        <v>27</v>
      </c>
      <c r="O41" s="137" t="s">
        <v>50</v>
      </c>
      <c r="P41" s="138"/>
      <c r="Q41" s="138"/>
      <c r="R41" s="138"/>
      <c r="S41" s="138"/>
      <c r="T41" s="139"/>
    </row>
    <row r="42" spans="1:20" ht="18" customHeight="1" x14ac:dyDescent="0.35">
      <c r="C42" s="140"/>
      <c r="D42" s="141"/>
      <c r="E42" s="141"/>
      <c r="F42" s="141"/>
      <c r="G42" s="141"/>
      <c r="H42" s="142"/>
      <c r="O42" s="140"/>
      <c r="P42" s="141"/>
      <c r="Q42" s="141"/>
      <c r="R42" s="141"/>
      <c r="S42" s="141"/>
      <c r="T42" s="142"/>
    </row>
    <row r="43" spans="1:20" ht="18" customHeight="1" x14ac:dyDescent="0.35">
      <c r="C43" s="140"/>
      <c r="D43" s="141"/>
      <c r="E43" s="141"/>
      <c r="F43" s="141"/>
      <c r="G43" s="141"/>
      <c r="H43" s="142"/>
      <c r="O43" s="140"/>
      <c r="P43" s="141"/>
      <c r="Q43" s="141"/>
      <c r="R43" s="141"/>
      <c r="S43" s="141"/>
      <c r="T43" s="142"/>
    </row>
    <row r="44" spans="1:20" ht="35.5" customHeight="1" x14ac:dyDescent="0.35">
      <c r="C44" s="143"/>
      <c r="D44" s="144"/>
      <c r="E44" s="144"/>
      <c r="F44" s="144"/>
      <c r="G44" s="144"/>
      <c r="H44" s="145"/>
      <c r="O44" s="143"/>
      <c r="P44" s="144"/>
      <c r="Q44" s="144"/>
      <c r="R44" s="144"/>
      <c r="S44" s="144"/>
      <c r="T44" s="145"/>
    </row>
  </sheetData>
  <mergeCells count="9">
    <mergeCell ref="B5:C5"/>
    <mergeCell ref="B22:E22"/>
    <mergeCell ref="N22:Q22"/>
    <mergeCell ref="C41:H44"/>
    <mergeCell ref="C2:H2"/>
    <mergeCell ref="O2:T2"/>
    <mergeCell ref="B4:C4"/>
    <mergeCell ref="N4:O4"/>
    <mergeCell ref="O41:T44"/>
  </mergeCells>
  <pageMargins left="0.7" right="0.7" top="0.75" bottom="0.75" header="0.3" footer="0.3"/>
  <pageSetup scale="80" fitToWidth="0" orientation="portrait" horizontalDpi="4294967293" verticalDpi="4294967293" r:id="rId1"/>
  <colBreaks count="1" manualBreakCount="1">
    <brk id="12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DED223-A168-456F-A2A8-FCC6C823A8BF}">
  <dimension ref="A1:H46"/>
  <sheetViews>
    <sheetView workbookViewId="0">
      <selection activeCell="C1" sqref="C1:E1"/>
    </sheetView>
  </sheetViews>
  <sheetFormatPr defaultRowHeight="14.5" x14ac:dyDescent="0.35"/>
  <cols>
    <col min="1" max="1" width="5.6328125" style="102" customWidth="1"/>
    <col min="2" max="2" width="9.6328125" style="103" bestFit="1" customWidth="1"/>
    <col min="3" max="3" width="12.08984375" style="113" customWidth="1"/>
    <col min="4" max="4" width="2.90625" style="129" customWidth="1"/>
    <col min="5" max="5" width="12.26953125" style="107" customWidth="1"/>
    <col min="7" max="8" width="12.7265625" style="102" customWidth="1"/>
  </cols>
  <sheetData>
    <row r="1" spans="1:8" x14ac:dyDescent="0.35">
      <c r="A1" s="92"/>
      <c r="B1" s="93">
        <v>0.05</v>
      </c>
      <c r="C1" s="148" t="s">
        <v>53</v>
      </c>
      <c r="D1" s="148"/>
      <c r="E1" s="148"/>
      <c r="G1" s="92"/>
      <c r="H1" s="92"/>
    </row>
    <row r="2" spans="1:8" x14ac:dyDescent="0.35">
      <c r="A2" s="92"/>
      <c r="B2" s="94"/>
      <c r="C2" s="95"/>
      <c r="D2" s="92"/>
      <c r="E2" s="92"/>
      <c r="G2" s="92"/>
      <c r="H2" s="92"/>
    </row>
    <row r="3" spans="1:8" ht="42" x14ac:dyDescent="0.35">
      <c r="A3" s="97"/>
      <c r="B3" s="96" t="s">
        <v>34</v>
      </c>
      <c r="C3" s="98" t="s">
        <v>54</v>
      </c>
      <c r="D3" s="99"/>
      <c r="E3" s="100" t="s">
        <v>55</v>
      </c>
      <c r="G3" s="130" t="s">
        <v>43</v>
      </c>
      <c r="H3" s="131" t="s">
        <v>41</v>
      </c>
    </row>
    <row r="4" spans="1:8" ht="15.5" x14ac:dyDescent="0.35">
      <c r="A4" s="101"/>
      <c r="B4" s="103">
        <v>2026</v>
      </c>
      <c r="C4" s="104">
        <v>45437</v>
      </c>
      <c r="D4" s="105"/>
      <c r="E4" s="106">
        <f t="shared" ref="E4:E44" si="0">C4*(1+$H5)</f>
        <v>47295.373299999999</v>
      </c>
      <c r="H4" s="132"/>
    </row>
    <row r="5" spans="1:8" ht="15.5" x14ac:dyDescent="0.35">
      <c r="A5" s="108"/>
      <c r="B5" s="103">
        <f>B4-1</f>
        <v>2025</v>
      </c>
      <c r="C5" s="109">
        <f t="shared" ref="C5:C44" si="1">C4*(1+$G6)</f>
        <v>46254.866000000002</v>
      </c>
      <c r="D5" s="110"/>
      <c r="E5" s="111">
        <f t="shared" si="0"/>
        <v>48125.990966865</v>
      </c>
      <c r="G5" s="133">
        <v>0</v>
      </c>
      <c r="H5" s="132">
        <v>4.0899999999999999E-2</v>
      </c>
    </row>
    <row r="6" spans="1:8" ht="15.5" x14ac:dyDescent="0.35">
      <c r="B6" s="103">
        <f t="shared" ref="B6:B44" si="2">B5-1</f>
        <v>2024</v>
      </c>
      <c r="C6" s="113">
        <f t="shared" si="1"/>
        <v>47070.108013249999</v>
      </c>
      <c r="D6" s="105"/>
      <c r="E6" s="107">
        <f t="shared" si="0"/>
        <v>48953.147684320065</v>
      </c>
      <c r="G6" s="133">
        <v>1.7999999999999999E-2</v>
      </c>
      <c r="H6" s="132">
        <v>4.0452500000000002E-2</v>
      </c>
    </row>
    <row r="7" spans="1:8" ht="15.5" x14ac:dyDescent="0.35">
      <c r="B7" s="103">
        <f t="shared" si="2"/>
        <v>2023</v>
      </c>
      <c r="C7" s="113">
        <f t="shared" si="1"/>
        <v>47882.067376478561</v>
      </c>
      <c r="D7" s="105"/>
      <c r="E7" s="107">
        <f t="shared" si="0"/>
        <v>49776.162256723605</v>
      </c>
      <c r="G7" s="133">
        <v>1.7624999999999998E-2</v>
      </c>
      <c r="H7" s="132">
        <v>4.0004999999999999E-2</v>
      </c>
    </row>
    <row r="8" spans="1:8" ht="15.5" x14ac:dyDescent="0.35">
      <c r="B8" s="103">
        <f t="shared" si="2"/>
        <v>2022</v>
      </c>
      <c r="C8" s="113">
        <f t="shared" si="1"/>
        <v>48690.077263456638</v>
      </c>
      <c r="D8" s="105"/>
      <c r="E8" s="107">
        <f t="shared" si="0"/>
        <v>50594.346185230424</v>
      </c>
      <c r="G8" s="133">
        <v>1.7249999999999998E-2</v>
      </c>
      <c r="H8" s="132">
        <v>3.9557499999999995E-2</v>
      </c>
    </row>
    <row r="9" spans="1:8" ht="15.5" x14ac:dyDescent="0.35">
      <c r="B9" s="103">
        <f t="shared" si="2"/>
        <v>2021</v>
      </c>
      <c r="C9" s="113">
        <f t="shared" si="1"/>
        <v>49493.463538303673</v>
      </c>
      <c r="D9" s="105"/>
      <c r="E9" s="107">
        <f t="shared" si="0"/>
        <v>51407.00457235334</v>
      </c>
      <c r="G9" s="133">
        <v>1.6874999999999998E-2</v>
      </c>
      <c r="H9" s="132">
        <v>3.9109999999999992E-2</v>
      </c>
    </row>
    <row r="10" spans="1:8" ht="15.5" x14ac:dyDescent="0.35">
      <c r="A10" s="115"/>
      <c r="B10" s="114">
        <f t="shared" si="2"/>
        <v>2020</v>
      </c>
      <c r="C10" s="116">
        <f t="shared" si="1"/>
        <v>50291.545637858821</v>
      </c>
      <c r="D10" s="117"/>
      <c r="E10" s="111">
        <f t="shared" si="0"/>
        <v>52213.437054409587</v>
      </c>
      <c r="G10" s="133">
        <v>1.6499999999999997E-2</v>
      </c>
      <c r="H10" s="132">
        <v>3.8662499999999989E-2</v>
      </c>
    </row>
    <row r="11" spans="1:8" ht="15.5" x14ac:dyDescent="0.35">
      <c r="B11" s="103">
        <f t="shared" si="2"/>
        <v>2019</v>
      </c>
      <c r="C11" s="113">
        <f t="shared" si="1"/>
        <v>51083.637481655096</v>
      </c>
      <c r="D11" s="105"/>
      <c r="E11" s="107">
        <f t="shared" si="0"/>
        <v>53012.938760243502</v>
      </c>
      <c r="G11" s="133">
        <v>1.6124999999999997E-2</v>
      </c>
      <c r="H11" s="132">
        <v>3.8214999999999985E-2</v>
      </c>
    </row>
    <row r="12" spans="1:8" ht="15.5" x14ac:dyDescent="0.35">
      <c r="B12" s="103">
        <f t="shared" si="2"/>
        <v>2018</v>
      </c>
      <c r="C12" s="113">
        <f t="shared" si="1"/>
        <v>51869.048407935537</v>
      </c>
      <c r="D12" s="105"/>
      <c r="E12" s="107">
        <f t="shared" si="0"/>
        <v>53804.80129451969</v>
      </c>
      <c r="G12" s="133">
        <v>1.5749999999999997E-2</v>
      </c>
      <c r="H12" s="132">
        <v>3.7767499999999982E-2</v>
      </c>
    </row>
    <row r="13" spans="1:8" ht="15.5" x14ac:dyDescent="0.35">
      <c r="B13" s="103">
        <f t="shared" si="2"/>
        <v>2017</v>
      </c>
      <c r="C13" s="113">
        <f t="shared" si="1"/>
        <v>52647.084134054567</v>
      </c>
      <c r="D13" s="105"/>
      <c r="E13" s="107">
        <f t="shared" si="0"/>
        <v>54588.313743787483</v>
      </c>
      <c r="G13" s="133">
        <v>1.5374999999999996E-2</v>
      </c>
      <c r="H13" s="132">
        <v>3.7319999999999978E-2</v>
      </c>
    </row>
    <row r="14" spans="1:8" ht="15.5" x14ac:dyDescent="0.35">
      <c r="B14" s="103">
        <f t="shared" si="2"/>
        <v>2016</v>
      </c>
      <c r="C14" s="113">
        <f t="shared" si="1"/>
        <v>53417.04773951511</v>
      </c>
      <c r="D14" s="105"/>
      <c r="E14" s="107">
        <f t="shared" si="0"/>
        <v>55362.763703426943</v>
      </c>
      <c r="G14" s="133">
        <v>1.4999999999999996E-2</v>
      </c>
      <c r="H14" s="132">
        <v>3.6872499999999975E-2</v>
      </c>
    </row>
    <row r="15" spans="1:8" ht="15.5" x14ac:dyDescent="0.35">
      <c r="B15" s="103">
        <f t="shared" si="2"/>
        <v>2015</v>
      </c>
      <c r="C15" s="113">
        <f t="shared" si="1"/>
        <v>54178.240669803206</v>
      </c>
      <c r="D15" s="105"/>
      <c r="E15" s="107">
        <f t="shared" si="0"/>
        <v>56127.438323501054</v>
      </c>
      <c r="G15" s="133">
        <v>1.4624999999999996E-2</v>
      </c>
      <c r="H15" s="132">
        <v>3.6424999999999971E-2</v>
      </c>
    </row>
    <row r="16" spans="1:8" ht="15.5" x14ac:dyDescent="0.35">
      <c r="A16" s="119"/>
      <c r="B16" s="118">
        <f t="shared" si="2"/>
        <v>2014</v>
      </c>
      <c r="C16" s="120">
        <f t="shared" si="1"/>
        <v>54929.963759096732</v>
      </c>
      <c r="D16" s="121"/>
      <c r="E16" s="122">
        <f t="shared" si="0"/>
        <v>56881.625371457441</v>
      </c>
      <c r="G16" s="133">
        <v>1.4249999999999995E-2</v>
      </c>
      <c r="H16" s="132">
        <v>3.5977499999999968E-2</v>
      </c>
    </row>
    <row r="17" spans="1:8" ht="15.5" x14ac:dyDescent="0.35">
      <c r="B17" s="103">
        <f t="shared" si="2"/>
        <v>2013</v>
      </c>
      <c r="C17" s="113">
        <f t="shared" si="1"/>
        <v>55671.518269844542</v>
      </c>
      <c r="D17" s="105"/>
      <c r="E17" s="107">
        <f t="shared" si="0"/>
        <v>57624.614309546356</v>
      </c>
      <c r="G17" s="133">
        <v>1.3874999999999995E-2</v>
      </c>
      <c r="H17" s="132">
        <v>3.5529999999999964E-2</v>
      </c>
    </row>
    <row r="18" spans="1:8" ht="15.5" x14ac:dyDescent="0.35">
      <c r="B18" s="103">
        <f t="shared" si="2"/>
        <v>2012</v>
      </c>
      <c r="C18" s="113">
        <f t="shared" si="1"/>
        <v>56402.206947136256</v>
      </c>
      <c r="D18" s="105"/>
      <c r="E18" s="107">
        <f t="shared" si="0"/>
        <v>58355.697384750318</v>
      </c>
      <c r="G18" s="133">
        <v>1.3499999999999995E-2</v>
      </c>
      <c r="H18" s="132">
        <v>3.5082499999999961E-2</v>
      </c>
    </row>
    <row r="19" spans="1:8" ht="15.5" x14ac:dyDescent="0.35">
      <c r="B19" s="103">
        <f t="shared" si="2"/>
        <v>2011</v>
      </c>
      <c r="C19" s="113">
        <f t="shared" si="1"/>
        <v>57121.335085712242</v>
      </c>
      <c r="D19" s="105"/>
      <c r="E19" s="107">
        <f t="shared" si="0"/>
        <v>59074.170728955032</v>
      </c>
      <c r="G19" s="133">
        <v>1.3124999999999994E-2</v>
      </c>
      <c r="H19" s="132">
        <v>3.4634999999999957E-2</v>
      </c>
    </row>
    <row r="20" spans="1:8" ht="15.5" x14ac:dyDescent="0.35">
      <c r="B20" s="103">
        <f t="shared" si="2"/>
        <v>2010</v>
      </c>
      <c r="C20" s="113">
        <f t="shared" si="1"/>
        <v>57828.211607397934</v>
      </c>
      <c r="D20" s="105"/>
      <c r="E20" s="107">
        <f t="shared" si="0"/>
        <v>59779.335467031531</v>
      </c>
      <c r="G20" s="133">
        <v>1.2749999999999994E-2</v>
      </c>
      <c r="H20" s="132">
        <v>3.4187499999999954E-2</v>
      </c>
    </row>
    <row r="21" spans="1:8" ht="15.5" x14ac:dyDescent="0.35">
      <c r="B21" s="103">
        <f t="shared" si="2"/>
        <v>2009</v>
      </c>
      <c r="C21" s="113">
        <f t="shared" si="1"/>
        <v>58522.150146686712</v>
      </c>
      <c r="D21" s="105"/>
      <c r="E21" s="107">
        <f t="shared" si="0"/>
        <v>60470.498830445278</v>
      </c>
      <c r="G21" s="133">
        <v>1.2374999999999994E-2</v>
      </c>
      <c r="H21" s="132">
        <v>3.3739999999999951E-2</v>
      </c>
    </row>
    <row r="22" spans="1:8" ht="15.5" x14ac:dyDescent="0.35">
      <c r="B22" s="103">
        <f t="shared" si="2"/>
        <v>2008</v>
      </c>
      <c r="C22" s="113">
        <f t="shared" si="1"/>
        <v>59202.470142141945</v>
      </c>
      <c r="D22" s="105"/>
      <c r="E22" s="107">
        <f t="shared" si="0"/>
        <v>61146.975273960597</v>
      </c>
      <c r="G22" s="133">
        <v>1.1999999999999993E-2</v>
      </c>
      <c r="H22" s="132">
        <v>3.3292499999999947E-2</v>
      </c>
    </row>
    <row r="23" spans="1:8" ht="15.5" x14ac:dyDescent="0.35">
      <c r="B23" s="103">
        <f t="shared" si="2"/>
        <v>2007</v>
      </c>
      <c r="C23" s="113">
        <f t="shared" si="1"/>
        <v>59868.497931241043</v>
      </c>
      <c r="D23" s="105"/>
      <c r="E23" s="107">
        <f t="shared" si="0"/>
        <v>61808.087592968419</v>
      </c>
      <c r="G23" s="133">
        <v>1.1624999999999993E-2</v>
      </c>
      <c r="H23" s="132">
        <v>3.2844999999999944E-2</v>
      </c>
    </row>
    <row r="24" spans="1:8" ht="15.5" x14ac:dyDescent="0.35">
      <c r="B24" s="103">
        <f t="shared" si="2"/>
        <v>2006</v>
      </c>
      <c r="C24" s="113">
        <f t="shared" si="1"/>
        <v>60519.567846243284</v>
      </c>
      <c r="D24" s="105"/>
      <c r="E24" s="107">
        <f t="shared" si="0"/>
        <v>62453.168038930751</v>
      </c>
      <c r="G24" s="133">
        <v>1.1249999999999993E-2</v>
      </c>
      <c r="H24" s="132">
        <v>3.239749999999994E-2</v>
      </c>
    </row>
    <row r="25" spans="1:8" ht="15.5" x14ac:dyDescent="0.35">
      <c r="B25" s="103">
        <f t="shared" si="2"/>
        <v>2005</v>
      </c>
      <c r="C25" s="113">
        <f t="shared" si="1"/>
        <v>61155.023308628835</v>
      </c>
      <c r="D25" s="105"/>
      <c r="E25" s="107">
        <f t="shared" si="0"/>
        <v>63081.559430408917</v>
      </c>
      <c r="G25" s="133">
        <v>1.0874999999999992E-2</v>
      </c>
      <c r="H25" s="132">
        <v>3.1949999999999937E-2</v>
      </c>
    </row>
    <row r="26" spans="1:8" ht="15.5" x14ac:dyDescent="0.35">
      <c r="A26" s="124"/>
      <c r="B26" s="123">
        <f t="shared" si="2"/>
        <v>2004</v>
      </c>
      <c r="C26" s="125">
        <f t="shared" si="1"/>
        <v>61774.217919628696</v>
      </c>
      <c r="D26" s="126"/>
      <c r="E26" s="127">
        <f t="shared" si="0"/>
        <v>63692.616257122754</v>
      </c>
      <c r="G26" s="133">
        <v>1.0499999999999992E-2</v>
      </c>
      <c r="H26" s="132">
        <v>3.1502499999999933E-2</v>
      </c>
    </row>
    <row r="27" spans="1:8" ht="15.5" x14ac:dyDescent="0.35">
      <c r="B27" s="103">
        <f t="shared" si="2"/>
        <v>2003</v>
      </c>
      <c r="C27" s="113">
        <f t="shared" si="1"/>
        <v>62376.516544345068</v>
      </c>
      <c r="D27" s="105"/>
      <c r="E27" s="107">
        <f t="shared" si="0"/>
        <v>64285.705774476104</v>
      </c>
      <c r="G27" s="133">
        <v>1.0124999999999992E-2</v>
      </c>
      <c r="H27" s="132">
        <v>3.1054999999999933E-2</v>
      </c>
    </row>
    <row r="28" spans="1:8" ht="15.5" x14ac:dyDescent="0.35">
      <c r="B28" s="103">
        <f t="shared" si="2"/>
        <v>2002</v>
      </c>
      <c r="C28" s="113">
        <f t="shared" si="1"/>
        <v>62961.296386948299</v>
      </c>
      <c r="D28" s="105"/>
      <c r="E28" s="107">
        <f t="shared" si="0"/>
        <v>64860.209085978655</v>
      </c>
      <c r="G28" s="133">
        <v>9.7499999999999913E-3</v>
      </c>
      <c r="H28" s="132">
        <v>3.0607499999999933E-2</v>
      </c>
    </row>
    <row r="29" spans="1:8" ht="15.5" x14ac:dyDescent="0.35">
      <c r="B29" s="103">
        <f t="shared" si="2"/>
        <v>2001</v>
      </c>
      <c r="C29" s="113">
        <f t="shared" si="1"/>
        <v>63527.948054430824</v>
      </c>
      <c r="D29" s="105"/>
      <c r="E29" s="107">
        <f t="shared" si="0"/>
        <v>65415.522210998104</v>
      </c>
      <c r="G29" s="133">
        <v>9.374999999999991E-3</v>
      </c>
      <c r="H29" s="132">
        <v>3.0159999999999933E-2</v>
      </c>
    </row>
    <row r="30" spans="1:8" ht="15.5" x14ac:dyDescent="0.35">
      <c r="B30" s="103">
        <f t="shared" si="2"/>
        <v>2000</v>
      </c>
      <c r="C30" s="113">
        <f t="shared" si="1"/>
        <v>64075.876606400285</v>
      </c>
      <c r="D30" s="105"/>
      <c r="E30" s="107">
        <f t="shared" si="0"/>
        <v>65951.057135286581</v>
      </c>
      <c r="G30" s="133">
        <v>8.9999999999999906E-3</v>
      </c>
      <c r="H30" s="132">
        <v>2.9712499999999933E-2</v>
      </c>
    </row>
    <row r="31" spans="1:8" ht="15.5" x14ac:dyDescent="0.35">
      <c r="B31" s="103">
        <f t="shared" si="2"/>
        <v>1999</v>
      </c>
      <c r="C31" s="113">
        <f t="shared" si="1"/>
        <v>64604.502588403091</v>
      </c>
      <c r="D31" s="105"/>
      <c r="E31" s="107">
        <f t="shared" si="0"/>
        <v>66466.242841744388</v>
      </c>
      <c r="G31" s="133">
        <v>8.6249999999999903E-3</v>
      </c>
      <c r="H31" s="132">
        <v>2.9264999999999933E-2</v>
      </c>
    </row>
    <row r="32" spans="1:8" ht="15.5" x14ac:dyDescent="0.35">
      <c r="B32" s="103">
        <f t="shared" si="2"/>
        <v>1998</v>
      </c>
      <c r="C32" s="113">
        <f t="shared" si="1"/>
        <v>65113.263046286767</v>
      </c>
      <c r="D32" s="105"/>
      <c r="E32" s="107">
        <f t="shared" si="0"/>
        <v>66960.526318909921</v>
      </c>
      <c r="G32" s="133">
        <v>8.24999999999999E-3</v>
      </c>
      <c r="H32" s="132">
        <v>2.8817499999999933E-2</v>
      </c>
    </row>
    <row r="33" spans="2:8" ht="15.5" x14ac:dyDescent="0.35">
      <c r="B33" s="103">
        <f t="shared" si="2"/>
        <v>1997</v>
      </c>
      <c r="C33" s="113">
        <f t="shared" si="1"/>
        <v>65601.612519133923</v>
      </c>
      <c r="D33" s="105"/>
      <c r="E33" s="107">
        <f t="shared" si="0"/>
        <v>67433.373544699425</v>
      </c>
      <c r="G33" s="133">
        <v>7.8749999999999896E-3</v>
      </c>
      <c r="H33" s="132">
        <v>2.8369999999999933E-2</v>
      </c>
    </row>
    <row r="34" spans="2:8" ht="15.5" x14ac:dyDescent="0.35">
      <c r="B34" s="103">
        <f t="shared" si="2"/>
        <v>1996</v>
      </c>
      <c r="C34" s="113">
        <f t="shared" si="1"/>
        <v>66069.024008332752</v>
      </c>
      <c r="D34" s="105"/>
      <c r="E34" s="107">
        <f t="shared" si="0"/>
        <v>67884.270442961686</v>
      </c>
      <c r="G34" s="133">
        <v>7.4999999999999893E-3</v>
      </c>
      <c r="H34" s="132">
        <v>2.7922499999999933E-2</v>
      </c>
    </row>
    <row r="35" spans="2:8" ht="15.5" x14ac:dyDescent="0.35">
      <c r="B35" s="103">
        <f t="shared" si="2"/>
        <v>1995</v>
      </c>
      <c r="C35" s="113">
        <f t="shared" si="1"/>
        <v>66514.989920388995</v>
      </c>
      <c r="D35" s="105"/>
      <c r="E35" s="107">
        <f t="shared" si="0"/>
        <v>68312.72381046231</v>
      </c>
      <c r="G35" s="133">
        <v>7.124999999999989E-3</v>
      </c>
      <c r="H35" s="132">
        <v>2.7474999999999934E-2</v>
      </c>
    </row>
    <row r="36" spans="2:8" ht="15.5" x14ac:dyDescent="0.35">
      <c r="B36" s="114">
        <f t="shared" si="2"/>
        <v>1994</v>
      </c>
      <c r="C36" s="116">
        <f t="shared" si="1"/>
        <v>66939.022981131478</v>
      </c>
      <c r="D36" s="112"/>
      <c r="E36" s="128">
        <f t="shared" si="0"/>
        <v>68718.262211969937</v>
      </c>
      <c r="G36" s="133">
        <v>6.7499999999999886E-3</v>
      </c>
      <c r="H36" s="132">
        <v>2.7027499999999934E-2</v>
      </c>
    </row>
    <row r="37" spans="2:8" ht="15.5" x14ac:dyDescent="0.35">
      <c r="B37" s="103">
        <f t="shared" si="2"/>
        <v>1993</v>
      </c>
      <c r="C37" s="113">
        <f t="shared" si="1"/>
        <v>67340.657119018273</v>
      </c>
      <c r="D37" s="105"/>
      <c r="E37" s="107">
        <f t="shared" si="0"/>
        <v>69100.436841181014</v>
      </c>
      <c r="G37" s="133">
        <v>6.3749999999999883E-3</v>
      </c>
      <c r="H37" s="132">
        <v>2.6579999999999934E-2</v>
      </c>
    </row>
    <row r="38" spans="2:8" ht="15.5" x14ac:dyDescent="0.35">
      <c r="B38" s="103">
        <f t="shared" si="2"/>
        <v>1992</v>
      </c>
      <c r="C38" s="113">
        <f t="shared" si="1"/>
        <v>67719.448315312751</v>
      </c>
      <c r="D38" s="105"/>
      <c r="E38" s="107">
        <f t="shared" si="0"/>
        <v>69458.822345291555</v>
      </c>
      <c r="G38" s="133">
        <v>5.999999999999988E-3</v>
      </c>
      <c r="H38" s="132">
        <v>2.6132499999999934E-2</v>
      </c>
    </row>
    <row r="39" spans="2:8" ht="15.5" x14ac:dyDescent="0.35">
      <c r="B39" s="103">
        <f t="shared" si="2"/>
        <v>1991</v>
      </c>
      <c r="C39" s="113">
        <f t="shared" si="1"/>
        <v>68074.975418968141</v>
      </c>
      <c r="D39" s="105"/>
      <c r="E39" s="107">
        <f t="shared" si="0"/>
        <v>69793.017611104355</v>
      </c>
      <c r="G39" s="133">
        <v>5.6249999999999876E-3</v>
      </c>
      <c r="H39" s="132">
        <v>2.5684999999999934E-2</v>
      </c>
    </row>
    <row r="40" spans="2:8" ht="15.5" x14ac:dyDescent="0.35">
      <c r="B40" s="103">
        <f t="shared" si="2"/>
        <v>1990</v>
      </c>
      <c r="C40" s="113">
        <f t="shared" si="1"/>
        <v>68406.840924135613</v>
      </c>
      <c r="D40" s="105"/>
      <c r="E40" s="107">
        <f t="shared" si="0"/>
        <v>70102.646510644932</v>
      </c>
      <c r="G40" s="133">
        <v>5.2499999999999873E-3</v>
      </c>
      <c r="H40" s="132">
        <v>2.5237499999999934E-2</v>
      </c>
    </row>
    <row r="41" spans="2:8" ht="15.5" x14ac:dyDescent="0.35">
      <c r="B41" s="103">
        <f t="shared" si="2"/>
        <v>1989</v>
      </c>
      <c r="C41" s="113">
        <f t="shared" si="1"/>
        <v>68714.67170829422</v>
      </c>
      <c r="D41" s="105"/>
      <c r="E41" s="107">
        <f t="shared" si="0"/>
        <v>70387.358604353372</v>
      </c>
      <c r="G41" s="133">
        <v>4.874999999999987E-3</v>
      </c>
      <c r="H41" s="132">
        <v>2.4789999999999934E-2</v>
      </c>
    </row>
    <row r="42" spans="2:8" ht="15.5" x14ac:dyDescent="0.35">
      <c r="B42" s="103">
        <f t="shared" si="2"/>
        <v>1988</v>
      </c>
      <c r="C42" s="113">
        <f t="shared" si="1"/>
        <v>68998.119729090933</v>
      </c>
      <c r="D42" s="105"/>
      <c r="E42" s="107">
        <f t="shared" si="0"/>
        <v>70646.829800017556</v>
      </c>
      <c r="G42" s="133">
        <v>4.4999999999999866E-3</v>
      </c>
      <c r="H42" s="132">
        <v>2.4342499999999934E-2</v>
      </c>
    </row>
    <row r="43" spans="2:8" ht="15.5" x14ac:dyDescent="0.35">
      <c r="B43" s="103">
        <f t="shared" si="2"/>
        <v>1987</v>
      </c>
      <c r="C43" s="113">
        <f t="shared" si="1"/>
        <v>69256.86267807502</v>
      </c>
      <c r="D43" s="105"/>
      <c r="E43" s="107">
        <f t="shared" si="0"/>
        <v>70880.762965719172</v>
      </c>
      <c r="G43" s="133">
        <v>4.1249999999999863E-3</v>
      </c>
      <c r="H43" s="132">
        <v>2.3894999999999934E-2</v>
      </c>
    </row>
    <row r="44" spans="2:8" ht="15.5" x14ac:dyDescent="0.35">
      <c r="B44" s="103">
        <f t="shared" si="2"/>
        <v>1986</v>
      </c>
      <c r="C44" s="113">
        <f t="shared" si="1"/>
        <v>69490.604589613518</v>
      </c>
      <c r="D44" s="105"/>
      <c r="E44" s="107">
        <f t="shared" si="0"/>
        <v>71088.888495174629</v>
      </c>
      <c r="G44" s="133">
        <v>3.7499999999999864E-3</v>
      </c>
      <c r="H44" s="132">
        <v>2.3447499999999934E-2</v>
      </c>
    </row>
    <row r="45" spans="2:8" ht="15.5" x14ac:dyDescent="0.35">
      <c r="D45" s="105"/>
      <c r="G45" s="133">
        <v>3.3749999999999865E-3</v>
      </c>
      <c r="H45" s="132">
        <v>2.2999999999999934E-2</v>
      </c>
    </row>
    <row r="46" spans="2:8" x14ac:dyDescent="0.35">
      <c r="D46" s="105"/>
    </row>
  </sheetData>
  <mergeCells count="1">
    <mergeCell ref="C1:E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27E24E-A61F-46C9-8C41-4208C235ACD2}">
  <dimension ref="A2:R45"/>
  <sheetViews>
    <sheetView topLeftCell="A2" zoomScaleNormal="100" workbookViewId="0">
      <selection activeCell="K26" sqref="K26"/>
    </sheetView>
  </sheetViews>
  <sheetFormatPr defaultColWidth="12.1796875" defaultRowHeight="13" x14ac:dyDescent="0.3"/>
  <cols>
    <col min="1" max="1" width="8.81640625" style="32" customWidth="1"/>
    <col min="2" max="2" width="9.1796875" style="32" customWidth="1"/>
    <col min="3" max="3" width="8.54296875" style="63" customWidth="1"/>
    <col min="4" max="4" width="2.90625" style="33" hidden="1" customWidth="1"/>
    <col min="5" max="5" width="11.26953125" style="64" customWidth="1"/>
    <col min="6" max="6" width="9.7265625" style="33" hidden="1" customWidth="1"/>
    <col min="7" max="7" width="10.1796875" style="33" hidden="1" customWidth="1"/>
    <col min="8" max="8" width="13" style="33" hidden="1" customWidth="1"/>
    <col min="9" max="9" width="12.1796875" style="33"/>
    <col min="10" max="10" width="5.54296875" style="33" customWidth="1"/>
    <col min="11" max="11" width="8.7265625" style="33" customWidth="1"/>
    <col min="12" max="12" width="12.453125" style="33" customWidth="1"/>
    <col min="13" max="13" width="5.453125" style="33" customWidth="1"/>
    <col min="14" max="14" width="8.81640625" style="33" customWidth="1"/>
    <col min="15" max="15" width="12.453125" style="33" customWidth="1"/>
    <col min="16" max="16384" width="12.1796875" style="33"/>
  </cols>
  <sheetData>
    <row r="2" spans="1:18" ht="38.5" customHeight="1" x14ac:dyDescent="0.3">
      <c r="B2" s="149" t="s">
        <v>30</v>
      </c>
      <c r="C2" s="149"/>
      <c r="E2" s="34" t="s">
        <v>31</v>
      </c>
      <c r="J2" s="35"/>
      <c r="K2" s="150" t="s">
        <v>32</v>
      </c>
      <c r="L2" s="150"/>
      <c r="M2" s="150"/>
      <c r="N2" s="150"/>
      <c r="O2" s="150"/>
      <c r="P2" s="150"/>
      <c r="Q2" s="35"/>
      <c r="R2" s="35"/>
    </row>
    <row r="3" spans="1:18" s="36" customFormat="1" ht="39" x14ac:dyDescent="0.3">
      <c r="A3" s="36" t="s">
        <v>33</v>
      </c>
      <c r="B3" s="36" t="s">
        <v>34</v>
      </c>
      <c r="C3" s="37" t="s">
        <v>35</v>
      </c>
      <c r="E3" s="38" t="s">
        <v>36</v>
      </c>
      <c r="F3" s="36" t="s">
        <v>37</v>
      </c>
      <c r="G3" s="36" t="s">
        <v>38</v>
      </c>
      <c r="H3" s="36" t="s">
        <v>39</v>
      </c>
      <c r="J3" s="33" t="s">
        <v>40</v>
      </c>
      <c r="K3" s="39" t="s">
        <v>41</v>
      </c>
      <c r="L3" s="33" t="s">
        <v>42</v>
      </c>
      <c r="M3" s="36" t="s">
        <v>40</v>
      </c>
      <c r="N3" s="36" t="s">
        <v>43</v>
      </c>
      <c r="O3" s="36" t="s">
        <v>44</v>
      </c>
    </row>
    <row r="4" spans="1:18" ht="14" x14ac:dyDescent="0.3">
      <c r="A4" s="32" t="s">
        <v>45</v>
      </c>
      <c r="B4" s="40">
        <v>2025</v>
      </c>
      <c r="C4" s="41">
        <v>43273</v>
      </c>
      <c r="D4" s="42"/>
      <c r="E4" s="43">
        <f t="shared" ref="E4:E44" si="0">SUM(C4*K4)+C4</f>
        <v>45042.865700000002</v>
      </c>
      <c r="F4" s="44">
        <f t="shared" ref="F4:F44" si="1">SUM(E4*0.5)</f>
        <v>22521.432850000001</v>
      </c>
      <c r="G4" s="44">
        <f t="shared" ref="G4:G44" si="2">SUM(E4+F4)*0.0765</f>
        <v>5168.6688390750005</v>
      </c>
      <c r="H4" s="45">
        <f t="shared" ref="H4:H44" si="3">SUM(E4+F4+G4)</f>
        <v>72732.967389075013</v>
      </c>
      <c r="J4" s="33">
        <v>0</v>
      </c>
      <c r="K4" s="46">
        <v>4.0899999999999999E-2</v>
      </c>
      <c r="L4" s="47">
        <f>((0.0409-0.023)/40)</f>
        <v>4.4749999999999998E-4</v>
      </c>
      <c r="M4" s="33">
        <v>0</v>
      </c>
      <c r="N4" s="46"/>
      <c r="O4" s="47"/>
    </row>
    <row r="5" spans="1:18" x14ac:dyDescent="0.3">
      <c r="A5" s="32">
        <v>1</v>
      </c>
      <c r="B5" s="32">
        <f t="shared" ref="B5:B44" si="4">B4-1</f>
        <v>2024</v>
      </c>
      <c r="C5" s="48">
        <f t="shared" ref="C5:C44" si="5">SUM(C4*N5)+C4</f>
        <v>44051.913999999997</v>
      </c>
      <c r="D5" s="42"/>
      <c r="E5" s="49">
        <f t="shared" si="0"/>
        <v>45833.924051085</v>
      </c>
      <c r="F5" s="44">
        <f t="shared" si="1"/>
        <v>22916.9620255425</v>
      </c>
      <c r="G5" s="44">
        <f t="shared" si="2"/>
        <v>5259.4427848620035</v>
      </c>
      <c r="H5" s="42">
        <f t="shared" si="3"/>
        <v>74010.328861489514</v>
      </c>
      <c r="J5" s="33">
        <v>1</v>
      </c>
      <c r="K5" s="46">
        <f t="shared" ref="K5:K44" si="6">K4-$L$4</f>
        <v>4.0452500000000002E-2</v>
      </c>
      <c r="L5" s="50"/>
      <c r="M5" s="33">
        <v>1</v>
      </c>
      <c r="N5" s="46">
        <v>1.7999999999999999E-2</v>
      </c>
      <c r="O5" s="47">
        <f>((0.02-0.005)/40)</f>
        <v>3.7500000000000001E-4</v>
      </c>
    </row>
    <row r="6" spans="1:18" x14ac:dyDescent="0.3">
      <c r="A6" s="32">
        <v>2</v>
      </c>
      <c r="B6" s="32">
        <f t="shared" si="4"/>
        <v>2023</v>
      </c>
      <c r="C6" s="48">
        <f t="shared" si="5"/>
        <v>44828.328984249994</v>
      </c>
      <c r="D6" s="42"/>
      <c r="E6" s="49">
        <f t="shared" si="0"/>
        <v>46621.686285264914</v>
      </c>
      <c r="F6" s="44">
        <f t="shared" si="1"/>
        <v>23310.843142632457</v>
      </c>
      <c r="G6" s="44">
        <f t="shared" si="2"/>
        <v>5349.8385012341487</v>
      </c>
      <c r="H6" s="42">
        <f t="shared" si="3"/>
        <v>75282.36792913152</v>
      </c>
      <c r="J6" s="33">
        <v>2</v>
      </c>
      <c r="K6" s="46">
        <f t="shared" si="6"/>
        <v>4.0004999999999999E-2</v>
      </c>
      <c r="M6" s="33">
        <v>2</v>
      </c>
      <c r="N6" s="46">
        <f t="shared" ref="N6:N44" si="7">N5-$O$5</f>
        <v>1.7624999999999998E-2</v>
      </c>
    </row>
    <row r="7" spans="1:18" x14ac:dyDescent="0.3">
      <c r="A7" s="32">
        <v>3</v>
      </c>
      <c r="B7" s="32">
        <f t="shared" si="4"/>
        <v>2022</v>
      </c>
      <c r="C7" s="48">
        <f t="shared" si="5"/>
        <v>45601.617659228308</v>
      </c>
      <c r="D7" s="42"/>
      <c r="E7" s="49">
        <f t="shared" si="0"/>
        <v>47405.503649783233</v>
      </c>
      <c r="F7" s="44">
        <f t="shared" si="1"/>
        <v>23702.751824891617</v>
      </c>
      <c r="G7" s="44">
        <f t="shared" si="2"/>
        <v>5439.7815438126263</v>
      </c>
      <c r="H7" s="42">
        <f t="shared" si="3"/>
        <v>76548.037018487477</v>
      </c>
      <c r="J7" s="33">
        <v>3</v>
      </c>
      <c r="K7" s="46">
        <f t="shared" si="6"/>
        <v>3.9557499999999995E-2</v>
      </c>
      <c r="M7" s="33">
        <v>3</v>
      </c>
      <c r="N7" s="46">
        <f t="shared" si="7"/>
        <v>1.7249999999999998E-2</v>
      </c>
    </row>
    <row r="8" spans="1:18" x14ac:dyDescent="0.3">
      <c r="A8" s="32">
        <v>4</v>
      </c>
      <c r="B8" s="32">
        <f t="shared" si="4"/>
        <v>2021</v>
      </c>
      <c r="C8" s="48">
        <f t="shared" si="5"/>
        <v>46371.144957227785</v>
      </c>
      <c r="D8" s="42"/>
      <c r="E8" s="49">
        <f t="shared" si="0"/>
        <v>48184.720436504962</v>
      </c>
      <c r="F8" s="44">
        <f t="shared" si="1"/>
        <v>24092.360218252481</v>
      </c>
      <c r="G8" s="44">
        <f t="shared" si="2"/>
        <v>5529.1966700889443</v>
      </c>
      <c r="H8" s="42">
        <f t="shared" si="3"/>
        <v>77806.277324846393</v>
      </c>
      <c r="J8" s="33">
        <v>4</v>
      </c>
      <c r="K8" s="46">
        <f t="shared" si="6"/>
        <v>3.9109999999999992E-2</v>
      </c>
      <c r="M8" s="33">
        <v>4</v>
      </c>
      <c r="N8" s="46">
        <f t="shared" si="7"/>
        <v>1.6874999999999998E-2</v>
      </c>
    </row>
    <row r="9" spans="1:18" s="57" customFormat="1" x14ac:dyDescent="0.3">
      <c r="A9" s="51">
        <v>5</v>
      </c>
      <c r="B9" s="51">
        <f t="shared" si="4"/>
        <v>2020</v>
      </c>
      <c r="C9" s="52">
        <f t="shared" si="5"/>
        <v>47136.268849022046</v>
      </c>
      <c r="D9" s="53"/>
      <c r="E9" s="54">
        <f t="shared" si="0"/>
        <v>48958.674843397363</v>
      </c>
      <c r="F9" s="55">
        <f t="shared" si="1"/>
        <v>24479.337421698681</v>
      </c>
      <c r="G9" s="56">
        <f t="shared" si="2"/>
        <v>5618.0079382798467</v>
      </c>
      <c r="H9" s="53">
        <f t="shared" si="3"/>
        <v>79056.020203375883</v>
      </c>
      <c r="J9" s="57">
        <v>5</v>
      </c>
      <c r="K9" s="58">
        <f t="shared" si="6"/>
        <v>3.8662499999999989E-2</v>
      </c>
      <c r="M9" s="57">
        <v>5</v>
      </c>
      <c r="N9" s="58">
        <f t="shared" si="7"/>
        <v>1.6499999999999997E-2</v>
      </c>
      <c r="P9" s="57">
        <f>C9/C4</f>
        <v>1.089276658632913</v>
      </c>
    </row>
    <row r="10" spans="1:18" x14ac:dyDescent="0.3">
      <c r="A10" s="32">
        <v>6</v>
      </c>
      <c r="B10" s="59">
        <f t="shared" si="4"/>
        <v>2019</v>
      </c>
      <c r="C10" s="48">
        <f t="shared" si="5"/>
        <v>47896.341184212528</v>
      </c>
      <c r="D10" s="42"/>
      <c r="E10" s="49">
        <f t="shared" si="0"/>
        <v>49726.699862567206</v>
      </c>
      <c r="F10" s="44">
        <f t="shared" si="1"/>
        <v>24863.349931283603</v>
      </c>
      <c r="G10" s="44">
        <f t="shared" si="2"/>
        <v>5706.1388092295865</v>
      </c>
      <c r="H10" s="42">
        <f t="shared" si="3"/>
        <v>80296.188603080387</v>
      </c>
      <c r="J10" s="33">
        <v>6</v>
      </c>
      <c r="K10" s="46">
        <f t="shared" si="6"/>
        <v>3.8214999999999985E-2</v>
      </c>
      <c r="M10" s="33">
        <v>6</v>
      </c>
      <c r="N10" s="46">
        <f t="shared" si="7"/>
        <v>1.6124999999999997E-2</v>
      </c>
    </row>
    <row r="11" spans="1:18" x14ac:dyDescent="0.3">
      <c r="A11" s="32">
        <v>7</v>
      </c>
      <c r="B11" s="32">
        <f t="shared" si="4"/>
        <v>2018</v>
      </c>
      <c r="C11" s="48">
        <f t="shared" si="5"/>
        <v>48650.708557863873</v>
      </c>
      <c r="D11" s="42"/>
      <c r="E11" s="49">
        <f t="shared" si="0"/>
        <v>50488.124193322998</v>
      </c>
      <c r="F11" s="44">
        <f t="shared" si="1"/>
        <v>25244.062096661499</v>
      </c>
      <c r="G11" s="44">
        <f t="shared" si="2"/>
        <v>5793.5122511838144</v>
      </c>
      <c r="H11" s="42">
        <f t="shared" si="3"/>
        <v>81525.698541168313</v>
      </c>
      <c r="J11" s="33">
        <v>7</v>
      </c>
      <c r="K11" s="46">
        <f t="shared" si="6"/>
        <v>3.7767499999999982E-2</v>
      </c>
      <c r="M11" s="33">
        <v>7</v>
      </c>
      <c r="N11" s="46">
        <f t="shared" si="7"/>
        <v>1.5749999999999997E-2</v>
      </c>
    </row>
    <row r="12" spans="1:18" x14ac:dyDescent="0.3">
      <c r="A12" s="32">
        <v>8</v>
      </c>
      <c r="B12" s="32">
        <f t="shared" si="4"/>
        <v>2017</v>
      </c>
      <c r="C12" s="48">
        <f t="shared" si="5"/>
        <v>49398.713201941027</v>
      </c>
      <c r="D12" s="42"/>
      <c r="E12" s="49">
        <f t="shared" si="0"/>
        <v>51242.273178637464</v>
      </c>
      <c r="F12" s="44">
        <f t="shared" si="1"/>
        <v>25621.136589318732</v>
      </c>
      <c r="G12" s="44">
        <f t="shared" si="2"/>
        <v>5880.050847248649</v>
      </c>
      <c r="H12" s="42">
        <f t="shared" si="3"/>
        <v>82743.460615204851</v>
      </c>
      <c r="J12" s="33">
        <v>8</v>
      </c>
      <c r="K12" s="46">
        <f t="shared" si="6"/>
        <v>3.7319999999999978E-2</v>
      </c>
      <c r="M12" s="33">
        <v>8</v>
      </c>
      <c r="N12" s="46">
        <f t="shared" si="7"/>
        <v>1.5374999999999996E-2</v>
      </c>
    </row>
    <row r="13" spans="1:18" x14ac:dyDescent="0.3">
      <c r="A13" s="32">
        <v>9</v>
      </c>
      <c r="B13" s="32">
        <f t="shared" si="4"/>
        <v>2016</v>
      </c>
      <c r="C13" s="48">
        <f t="shared" si="5"/>
        <v>50139.693899970145</v>
      </c>
      <c r="D13" s="42"/>
      <c r="E13" s="49">
        <f t="shared" si="0"/>
        <v>51988.469763296795</v>
      </c>
      <c r="F13" s="44">
        <f t="shared" si="1"/>
        <v>25994.234881648397</v>
      </c>
      <c r="G13" s="44">
        <f t="shared" si="2"/>
        <v>5965.6769053383068</v>
      </c>
      <c r="H13" s="42">
        <f t="shared" si="3"/>
        <v>83948.381550283491</v>
      </c>
      <c r="J13" s="33">
        <v>9</v>
      </c>
      <c r="K13" s="46">
        <f t="shared" si="6"/>
        <v>3.6872499999999975E-2</v>
      </c>
      <c r="M13" s="33">
        <v>9</v>
      </c>
      <c r="N13" s="46">
        <f t="shared" si="7"/>
        <v>1.4999999999999996E-2</v>
      </c>
    </row>
    <row r="14" spans="1:18" s="61" customFormat="1" x14ac:dyDescent="0.3">
      <c r="A14" s="51">
        <v>10</v>
      </c>
      <c r="B14" s="51">
        <f t="shared" si="4"/>
        <v>2015</v>
      </c>
      <c r="C14" s="52">
        <f t="shared" si="5"/>
        <v>50872.986923257209</v>
      </c>
      <c r="D14" s="53"/>
      <c r="E14" s="60">
        <f t="shared" si="0"/>
        <v>52726.035471936848</v>
      </c>
      <c r="F14" s="55">
        <f t="shared" si="1"/>
        <v>26363.017735968424</v>
      </c>
      <c r="G14" s="55">
        <f t="shared" si="2"/>
        <v>6050.3125704047525</v>
      </c>
      <c r="H14" s="53">
        <f t="shared" si="3"/>
        <v>85139.365778310021</v>
      </c>
      <c r="J14" s="61">
        <v>10</v>
      </c>
      <c r="K14" s="62">
        <f t="shared" si="6"/>
        <v>3.6424999999999971E-2</v>
      </c>
      <c r="M14" s="61">
        <v>10</v>
      </c>
      <c r="N14" s="62">
        <f t="shared" si="7"/>
        <v>1.4624999999999996E-2</v>
      </c>
    </row>
    <row r="15" spans="1:18" x14ac:dyDescent="0.3">
      <c r="A15" s="32">
        <v>11</v>
      </c>
      <c r="B15" s="59">
        <f t="shared" si="4"/>
        <v>2014</v>
      </c>
      <c r="C15" s="48">
        <f t="shared" si="5"/>
        <v>51597.926986913626</v>
      </c>
      <c r="D15" s="42"/>
      <c r="E15" s="49">
        <f t="shared" si="0"/>
        <v>53454.291405085307</v>
      </c>
      <c r="F15" s="44">
        <f t="shared" si="1"/>
        <v>26727.145702542653</v>
      </c>
      <c r="G15" s="44">
        <f t="shared" si="2"/>
        <v>6133.8799387335393</v>
      </c>
      <c r="H15" s="42">
        <f t="shared" si="3"/>
        <v>86315.31704636151</v>
      </c>
      <c r="J15" s="33">
        <v>11</v>
      </c>
      <c r="K15" s="46">
        <f t="shared" si="6"/>
        <v>3.5977499999999968E-2</v>
      </c>
      <c r="M15" s="33">
        <v>11</v>
      </c>
      <c r="N15" s="46">
        <f t="shared" si="7"/>
        <v>1.4249999999999995E-2</v>
      </c>
    </row>
    <row r="16" spans="1:18" x14ac:dyDescent="0.3">
      <c r="A16" s="32">
        <v>12</v>
      </c>
      <c r="B16" s="32">
        <f t="shared" si="4"/>
        <v>2013</v>
      </c>
      <c r="C16" s="48">
        <f t="shared" si="5"/>
        <v>52313.84822385705</v>
      </c>
      <c r="D16" s="42"/>
      <c r="E16" s="49">
        <f t="shared" si="0"/>
        <v>54172.559251250692</v>
      </c>
      <c r="F16" s="44">
        <f t="shared" si="1"/>
        <v>27086.279625625346</v>
      </c>
      <c r="G16" s="44">
        <f t="shared" si="2"/>
        <v>6216.3011740810161</v>
      </c>
      <c r="H16" s="42">
        <f t="shared" si="3"/>
        <v>87475.140050957052</v>
      </c>
      <c r="J16" s="33">
        <v>12</v>
      </c>
      <c r="K16" s="46">
        <f t="shared" si="6"/>
        <v>3.5529999999999964E-2</v>
      </c>
      <c r="M16" s="33">
        <v>12</v>
      </c>
      <c r="N16" s="46">
        <f t="shared" si="7"/>
        <v>1.3874999999999995E-2</v>
      </c>
    </row>
    <row r="17" spans="1:14" x14ac:dyDescent="0.3">
      <c r="A17" s="32">
        <v>13</v>
      </c>
      <c r="B17" s="32">
        <f t="shared" si="4"/>
        <v>2012</v>
      </c>
      <c r="C17" s="48">
        <f t="shared" si="5"/>
        <v>53020.085174879117</v>
      </c>
      <c r="D17" s="42"/>
      <c r="E17" s="49">
        <f t="shared" si="0"/>
        <v>54880.162313026813</v>
      </c>
      <c r="F17" s="44">
        <f t="shared" si="1"/>
        <v>27440.081156513406</v>
      </c>
      <c r="G17" s="44">
        <f t="shared" si="2"/>
        <v>6297.4986254198266</v>
      </c>
      <c r="H17" s="42">
        <f t="shared" si="3"/>
        <v>88617.742094960049</v>
      </c>
      <c r="J17" s="33">
        <v>13</v>
      </c>
      <c r="K17" s="46">
        <f t="shared" si="6"/>
        <v>3.5082499999999961E-2</v>
      </c>
      <c r="M17" s="33">
        <v>13</v>
      </c>
      <c r="N17" s="46">
        <f t="shared" si="7"/>
        <v>1.3499999999999995E-2</v>
      </c>
    </row>
    <row r="18" spans="1:14" x14ac:dyDescent="0.3">
      <c r="A18" s="32">
        <v>14</v>
      </c>
      <c r="B18" s="32">
        <f t="shared" si="4"/>
        <v>2011</v>
      </c>
      <c r="C18" s="48">
        <f t="shared" si="5"/>
        <v>53715.973792799407</v>
      </c>
      <c r="D18" s="42"/>
      <c r="E18" s="49">
        <f t="shared" si="0"/>
        <v>55576.426545113012</v>
      </c>
      <c r="F18" s="44">
        <f t="shared" si="1"/>
        <v>27788.213272556506</v>
      </c>
      <c r="G18" s="44">
        <f t="shared" si="2"/>
        <v>6377.3949460517188</v>
      </c>
      <c r="H18" s="42">
        <f t="shared" si="3"/>
        <v>89742.03476372124</v>
      </c>
      <c r="J18" s="33">
        <v>14</v>
      </c>
      <c r="K18" s="46">
        <f t="shared" si="6"/>
        <v>3.4634999999999957E-2</v>
      </c>
      <c r="M18" s="33">
        <v>14</v>
      </c>
      <c r="N18" s="46">
        <f t="shared" si="7"/>
        <v>1.3124999999999994E-2</v>
      </c>
    </row>
    <row r="19" spans="1:14" s="61" customFormat="1" x14ac:dyDescent="0.3">
      <c r="A19" s="51">
        <v>15</v>
      </c>
      <c r="B19" s="51">
        <f t="shared" si="4"/>
        <v>2010</v>
      </c>
      <c r="C19" s="52">
        <f t="shared" si="5"/>
        <v>54400.852458657595</v>
      </c>
      <c r="D19" s="53"/>
      <c r="E19" s="60">
        <f t="shared" si="0"/>
        <v>56260.681602087949</v>
      </c>
      <c r="F19" s="55">
        <f t="shared" si="1"/>
        <v>28130.340801043974</v>
      </c>
      <c r="G19" s="55">
        <f t="shared" si="2"/>
        <v>6455.9132138395917</v>
      </c>
      <c r="H19" s="53">
        <f t="shared" si="3"/>
        <v>90846.935616971517</v>
      </c>
      <c r="J19" s="61">
        <v>15</v>
      </c>
      <c r="K19" s="62">
        <f t="shared" si="6"/>
        <v>3.4187499999999954E-2</v>
      </c>
      <c r="M19" s="61">
        <v>15</v>
      </c>
      <c r="N19" s="62">
        <f t="shared" si="7"/>
        <v>1.2749999999999994E-2</v>
      </c>
    </row>
    <row r="20" spans="1:14" x14ac:dyDescent="0.3">
      <c r="A20" s="32">
        <v>16</v>
      </c>
      <c r="B20" s="59">
        <f t="shared" si="4"/>
        <v>2009</v>
      </c>
      <c r="C20" s="48">
        <f t="shared" si="5"/>
        <v>55074.06300783348</v>
      </c>
      <c r="D20" s="42"/>
      <c r="E20" s="49">
        <f t="shared" si="0"/>
        <v>56932.261893717776</v>
      </c>
      <c r="F20" s="44">
        <f t="shared" si="1"/>
        <v>28466.130946858888</v>
      </c>
      <c r="G20" s="44">
        <f t="shared" si="2"/>
        <v>6532.9770523041143</v>
      </c>
      <c r="H20" s="42">
        <f t="shared" si="3"/>
        <v>91931.369892880772</v>
      </c>
      <c r="J20" s="33">
        <v>16</v>
      </c>
      <c r="K20" s="46">
        <f t="shared" si="6"/>
        <v>3.3739999999999951E-2</v>
      </c>
      <c r="M20" s="33">
        <v>16</v>
      </c>
      <c r="N20" s="46">
        <f t="shared" si="7"/>
        <v>1.2374999999999994E-2</v>
      </c>
    </row>
    <row r="21" spans="1:14" x14ac:dyDescent="0.3">
      <c r="A21" s="32">
        <v>17</v>
      </c>
      <c r="B21" s="32">
        <f t="shared" si="4"/>
        <v>2008</v>
      </c>
      <c r="C21" s="48">
        <f t="shared" si="5"/>
        <v>55734.951763927478</v>
      </c>
      <c r="D21" s="42"/>
      <c r="E21" s="49">
        <f t="shared" si="0"/>
        <v>57590.507645528029</v>
      </c>
      <c r="F21" s="44">
        <f t="shared" si="1"/>
        <v>28795.253822764014</v>
      </c>
      <c r="G21" s="44">
        <f t="shared" si="2"/>
        <v>6608.5107523243405</v>
      </c>
      <c r="H21" s="42">
        <f t="shared" si="3"/>
        <v>92994.272220616374</v>
      </c>
      <c r="J21" s="33">
        <v>17</v>
      </c>
      <c r="K21" s="46">
        <f t="shared" si="6"/>
        <v>3.3292499999999947E-2</v>
      </c>
      <c r="M21" s="33">
        <v>17</v>
      </c>
      <c r="N21" s="46">
        <f t="shared" si="7"/>
        <v>1.1999999999999993E-2</v>
      </c>
    </row>
    <row r="22" spans="1:14" x14ac:dyDescent="0.3">
      <c r="A22" s="32">
        <v>18</v>
      </c>
      <c r="B22" s="32">
        <f t="shared" si="4"/>
        <v>2007</v>
      </c>
      <c r="C22" s="48">
        <f t="shared" si="5"/>
        <v>56382.870578183138</v>
      </c>
      <c r="D22" s="42"/>
      <c r="E22" s="49">
        <f t="shared" si="0"/>
        <v>58234.76596232356</v>
      </c>
      <c r="F22" s="44">
        <f t="shared" si="1"/>
        <v>29117.38298116178</v>
      </c>
      <c r="G22" s="44">
        <f t="shared" si="2"/>
        <v>6682.4393941766284</v>
      </c>
      <c r="H22" s="42">
        <f t="shared" si="3"/>
        <v>94034.588337661975</v>
      </c>
      <c r="J22" s="33">
        <v>18</v>
      </c>
      <c r="K22" s="46">
        <f t="shared" si="6"/>
        <v>3.2844999999999944E-2</v>
      </c>
      <c r="M22" s="33">
        <v>18</v>
      </c>
      <c r="N22" s="46">
        <f t="shared" si="7"/>
        <v>1.1624999999999993E-2</v>
      </c>
    </row>
    <row r="23" spans="1:14" x14ac:dyDescent="0.3">
      <c r="A23" s="32">
        <v>19</v>
      </c>
      <c r="B23" s="32">
        <f t="shared" si="4"/>
        <v>2006</v>
      </c>
      <c r="C23" s="48">
        <f t="shared" si="5"/>
        <v>57017.177872187698</v>
      </c>
      <c r="D23" s="42"/>
      <c r="E23" s="49">
        <f t="shared" si="0"/>
        <v>58864.391892301894</v>
      </c>
      <c r="F23" s="44">
        <f t="shared" si="1"/>
        <v>29432.195946150947</v>
      </c>
      <c r="G23" s="44">
        <f t="shared" si="2"/>
        <v>6754.688969641642</v>
      </c>
      <c r="H23" s="42">
        <f t="shared" si="3"/>
        <v>95051.276808094481</v>
      </c>
      <c r="J23" s="33">
        <v>19</v>
      </c>
      <c r="K23" s="46">
        <f t="shared" si="6"/>
        <v>3.239749999999994E-2</v>
      </c>
      <c r="M23" s="33">
        <v>19</v>
      </c>
      <c r="N23" s="46">
        <f t="shared" si="7"/>
        <v>1.1249999999999993E-2</v>
      </c>
    </row>
    <row r="24" spans="1:14" s="61" customFormat="1" x14ac:dyDescent="0.3">
      <c r="A24" s="51">
        <v>20</v>
      </c>
      <c r="B24" s="51">
        <f t="shared" si="4"/>
        <v>2005</v>
      </c>
      <c r="C24" s="52">
        <f t="shared" si="5"/>
        <v>57637.23968154774</v>
      </c>
      <c r="D24" s="53"/>
      <c r="E24" s="60">
        <f t="shared" si="0"/>
        <v>59478.749489373185</v>
      </c>
      <c r="F24" s="55">
        <f t="shared" si="1"/>
        <v>29739.374744686593</v>
      </c>
      <c r="G24" s="55">
        <f t="shared" si="2"/>
        <v>6825.1865039055729</v>
      </c>
      <c r="H24" s="53">
        <f t="shared" si="3"/>
        <v>96043.310737965352</v>
      </c>
      <c r="J24" s="61">
        <v>20</v>
      </c>
      <c r="K24" s="62">
        <f t="shared" si="6"/>
        <v>3.1949999999999937E-2</v>
      </c>
      <c r="M24" s="61">
        <v>20</v>
      </c>
      <c r="N24" s="62">
        <f t="shared" si="7"/>
        <v>1.0874999999999992E-2</v>
      </c>
    </row>
    <row r="25" spans="1:14" x14ac:dyDescent="0.3">
      <c r="A25" s="32">
        <v>21</v>
      </c>
      <c r="B25" s="59">
        <f t="shared" si="4"/>
        <v>2004</v>
      </c>
      <c r="C25" s="48">
        <f t="shared" si="5"/>
        <v>58242.430698203993</v>
      </c>
      <c r="D25" s="42"/>
      <c r="E25" s="49">
        <f t="shared" si="0"/>
        <v>60077.212871274161</v>
      </c>
      <c r="F25" s="44">
        <f t="shared" si="1"/>
        <v>30038.606435637081</v>
      </c>
      <c r="G25" s="44">
        <f t="shared" si="2"/>
        <v>6893.8601769787101</v>
      </c>
      <c r="H25" s="42">
        <f t="shared" si="3"/>
        <v>97009.679483889951</v>
      </c>
      <c r="J25" s="33">
        <v>21</v>
      </c>
      <c r="K25" s="46">
        <f t="shared" si="6"/>
        <v>3.1502499999999933E-2</v>
      </c>
      <c r="M25" s="33">
        <v>21</v>
      </c>
      <c r="N25" s="46">
        <f t="shared" si="7"/>
        <v>1.0499999999999992E-2</v>
      </c>
    </row>
    <row r="26" spans="1:14" x14ac:dyDescent="0.3">
      <c r="A26" s="32">
        <v>22</v>
      </c>
      <c r="B26" s="32">
        <f t="shared" si="4"/>
        <v>2003</v>
      </c>
      <c r="C26" s="48">
        <f t="shared" si="5"/>
        <v>58832.13530902331</v>
      </c>
      <c r="D26" s="42"/>
      <c r="E26" s="49">
        <f t="shared" si="0"/>
        <v>60659.167271045022</v>
      </c>
      <c r="F26" s="44">
        <f t="shared" si="1"/>
        <v>30329.583635522511</v>
      </c>
      <c r="G26" s="44">
        <f t="shared" si="2"/>
        <v>6960.6394443524159</v>
      </c>
      <c r="H26" s="42">
        <f t="shared" si="3"/>
        <v>97949.390350919944</v>
      </c>
      <c r="J26" s="33">
        <v>22</v>
      </c>
      <c r="K26" s="46">
        <f t="shared" si="6"/>
        <v>3.1054999999999933E-2</v>
      </c>
      <c r="M26" s="33">
        <v>22</v>
      </c>
      <c r="N26" s="46">
        <f t="shared" si="7"/>
        <v>1.0124999999999992E-2</v>
      </c>
    </row>
    <row r="27" spans="1:14" x14ac:dyDescent="0.3">
      <c r="A27" s="32">
        <v>23</v>
      </c>
      <c r="B27" s="32">
        <f t="shared" si="4"/>
        <v>2002</v>
      </c>
      <c r="C27" s="48">
        <f t="shared" si="5"/>
        <v>59405.748628286288</v>
      </c>
      <c r="D27" s="42"/>
      <c r="E27" s="49">
        <f t="shared" si="0"/>
        <v>61224.01007942656</v>
      </c>
      <c r="F27" s="44">
        <f t="shared" si="1"/>
        <v>30612.00503971328</v>
      </c>
      <c r="G27" s="44">
        <f t="shared" si="2"/>
        <v>7025.4551566141972</v>
      </c>
      <c r="H27" s="42">
        <f t="shared" si="3"/>
        <v>98861.470275754036</v>
      </c>
      <c r="J27" s="33">
        <v>23</v>
      </c>
      <c r="K27" s="46">
        <f t="shared" si="6"/>
        <v>3.0607499999999933E-2</v>
      </c>
      <c r="M27" s="33">
        <v>23</v>
      </c>
      <c r="N27" s="46">
        <f t="shared" si="7"/>
        <v>9.7499999999999913E-3</v>
      </c>
    </row>
    <row r="28" spans="1:14" x14ac:dyDescent="0.3">
      <c r="A28" s="32">
        <v>24</v>
      </c>
      <c r="B28" s="32">
        <f t="shared" si="4"/>
        <v>2001</v>
      </c>
      <c r="C28" s="48">
        <f t="shared" si="5"/>
        <v>59962.677521676473</v>
      </c>
      <c r="D28" s="42"/>
      <c r="E28" s="49">
        <f t="shared" si="0"/>
        <v>61771.151875730233</v>
      </c>
      <c r="F28" s="44">
        <f t="shared" si="1"/>
        <v>30885.575937865116</v>
      </c>
      <c r="G28" s="44">
        <f t="shared" si="2"/>
        <v>7088.2396777400445</v>
      </c>
      <c r="H28" s="42">
        <f t="shared" si="3"/>
        <v>99744.967491335396</v>
      </c>
      <c r="J28" s="33">
        <v>24</v>
      </c>
      <c r="K28" s="46">
        <f t="shared" si="6"/>
        <v>3.0159999999999933E-2</v>
      </c>
      <c r="M28" s="33">
        <v>24</v>
      </c>
      <c r="N28" s="46">
        <f t="shared" si="7"/>
        <v>9.374999999999991E-3</v>
      </c>
    </row>
    <row r="29" spans="1:14" s="61" customFormat="1" x14ac:dyDescent="0.3">
      <c r="A29" s="51">
        <v>25</v>
      </c>
      <c r="B29" s="51">
        <f t="shared" si="4"/>
        <v>2000</v>
      </c>
      <c r="C29" s="52">
        <f t="shared" si="5"/>
        <v>60502.34161937156</v>
      </c>
      <c r="D29" s="53"/>
      <c r="E29" s="60">
        <f t="shared" si="0"/>
        <v>62300.017444737132</v>
      </c>
      <c r="F29" s="55">
        <f t="shared" si="1"/>
        <v>31150.008722368566</v>
      </c>
      <c r="G29" s="55">
        <f t="shared" si="2"/>
        <v>7148.9270017835852</v>
      </c>
      <c r="H29" s="53">
        <f t="shared" si="3"/>
        <v>100598.95316888927</v>
      </c>
      <c r="J29" s="61">
        <v>25</v>
      </c>
      <c r="K29" s="62">
        <f t="shared" si="6"/>
        <v>2.9712499999999933E-2</v>
      </c>
      <c r="M29" s="61">
        <v>25</v>
      </c>
      <c r="N29" s="62">
        <f t="shared" si="7"/>
        <v>8.9999999999999906E-3</v>
      </c>
    </row>
    <row r="30" spans="1:14" x14ac:dyDescent="0.3">
      <c r="A30" s="32">
        <v>26</v>
      </c>
      <c r="B30" s="59">
        <f t="shared" si="4"/>
        <v>1999</v>
      </c>
      <c r="C30" s="48">
        <f t="shared" si="5"/>
        <v>61024.174315838638</v>
      </c>
      <c r="D30" s="42"/>
      <c r="E30" s="49">
        <f t="shared" si="0"/>
        <v>62810.046777191652</v>
      </c>
      <c r="F30" s="44">
        <f t="shared" si="1"/>
        <v>31405.023388595826</v>
      </c>
      <c r="G30" s="44">
        <f t="shared" si="2"/>
        <v>7207.4528676827413</v>
      </c>
      <c r="H30" s="42">
        <f t="shared" si="3"/>
        <v>101422.52303347022</v>
      </c>
      <c r="J30" s="33">
        <v>26</v>
      </c>
      <c r="K30" s="46">
        <f t="shared" si="6"/>
        <v>2.9264999999999933E-2</v>
      </c>
      <c r="M30" s="33">
        <v>26</v>
      </c>
      <c r="N30" s="46">
        <f t="shared" si="7"/>
        <v>8.6249999999999903E-3</v>
      </c>
    </row>
    <row r="31" spans="1:14" x14ac:dyDescent="0.3">
      <c r="A31" s="32">
        <v>27</v>
      </c>
      <c r="B31" s="32">
        <f t="shared" si="4"/>
        <v>1998</v>
      </c>
      <c r="C31" s="48">
        <f t="shared" si="5"/>
        <v>61527.623753944303</v>
      </c>
      <c r="D31" s="42"/>
      <c r="E31" s="49">
        <f t="shared" si="0"/>
        <v>63300.696051473591</v>
      </c>
      <c r="F31" s="44">
        <f t="shared" si="1"/>
        <v>31650.348025736796</v>
      </c>
      <c r="G31" s="44">
        <f t="shared" si="2"/>
        <v>7263.7548719065944</v>
      </c>
      <c r="H31" s="42">
        <f t="shared" si="3"/>
        <v>102214.79894911699</v>
      </c>
      <c r="J31" s="33">
        <v>27</v>
      </c>
      <c r="K31" s="46">
        <f t="shared" si="6"/>
        <v>2.8817499999999933E-2</v>
      </c>
      <c r="M31" s="33">
        <v>27</v>
      </c>
      <c r="N31" s="46">
        <f t="shared" si="7"/>
        <v>8.24999999999999E-3</v>
      </c>
    </row>
    <row r="32" spans="1:14" x14ac:dyDescent="0.3">
      <c r="A32" s="32">
        <v>28</v>
      </c>
      <c r="B32" s="32">
        <f t="shared" si="4"/>
        <v>1997</v>
      </c>
      <c r="C32" s="48">
        <f t="shared" si="5"/>
        <v>62012.153791006611</v>
      </c>
      <c r="D32" s="42"/>
      <c r="E32" s="49">
        <f t="shared" si="0"/>
        <v>63771.438594057465</v>
      </c>
      <c r="F32" s="44">
        <f t="shared" si="1"/>
        <v>31885.719297028732</v>
      </c>
      <c r="G32" s="44">
        <f t="shared" si="2"/>
        <v>7317.772578668094</v>
      </c>
      <c r="H32" s="42">
        <f t="shared" si="3"/>
        <v>102974.9304697543</v>
      </c>
      <c r="J32" s="33">
        <v>28</v>
      </c>
      <c r="K32" s="46">
        <f t="shared" si="6"/>
        <v>2.8369999999999933E-2</v>
      </c>
      <c r="M32" s="33">
        <v>28</v>
      </c>
      <c r="N32" s="46">
        <f t="shared" si="7"/>
        <v>7.8749999999999896E-3</v>
      </c>
    </row>
    <row r="33" spans="1:14" x14ac:dyDescent="0.3">
      <c r="A33" s="32">
        <v>29</v>
      </c>
      <c r="B33" s="32">
        <f t="shared" si="4"/>
        <v>1996</v>
      </c>
      <c r="C33" s="48">
        <f t="shared" si="5"/>
        <v>62477.24494443916</v>
      </c>
      <c r="D33" s="42"/>
      <c r="E33" s="49">
        <f t="shared" si="0"/>
        <v>64221.765816400257</v>
      </c>
      <c r="F33" s="44">
        <f t="shared" si="1"/>
        <v>32110.882908200128</v>
      </c>
      <c r="G33" s="44">
        <f t="shared" si="2"/>
        <v>7369.4476274319295</v>
      </c>
      <c r="H33" s="42">
        <f t="shared" si="3"/>
        <v>103702.09635203231</v>
      </c>
      <c r="J33" s="33">
        <v>29</v>
      </c>
      <c r="K33" s="46">
        <f t="shared" si="6"/>
        <v>2.7922499999999933E-2</v>
      </c>
      <c r="M33" s="33">
        <v>29</v>
      </c>
      <c r="N33" s="46">
        <f t="shared" si="7"/>
        <v>7.4999999999999893E-3</v>
      </c>
    </row>
    <row r="34" spans="1:14" s="61" customFormat="1" x14ac:dyDescent="0.3">
      <c r="A34" s="51">
        <v>30</v>
      </c>
      <c r="B34" s="51">
        <f t="shared" si="4"/>
        <v>1995</v>
      </c>
      <c r="C34" s="52">
        <f t="shared" si="5"/>
        <v>62922.395314668291</v>
      </c>
      <c r="D34" s="53"/>
      <c r="E34" s="60">
        <f t="shared" si="0"/>
        <v>64651.188125938796</v>
      </c>
      <c r="F34" s="55">
        <f t="shared" si="1"/>
        <v>32325.594062969398</v>
      </c>
      <c r="G34" s="55">
        <f t="shared" si="2"/>
        <v>7418.7238374514773</v>
      </c>
      <c r="H34" s="53">
        <f t="shared" si="3"/>
        <v>104395.50602635967</v>
      </c>
      <c r="J34" s="61">
        <v>30</v>
      </c>
      <c r="K34" s="62">
        <f t="shared" si="6"/>
        <v>2.7474999999999934E-2</v>
      </c>
      <c r="M34" s="61">
        <v>30</v>
      </c>
      <c r="N34" s="62">
        <f t="shared" si="7"/>
        <v>7.124999999999989E-3</v>
      </c>
    </row>
    <row r="35" spans="1:14" x14ac:dyDescent="0.3">
      <c r="A35" s="32">
        <v>31</v>
      </c>
      <c r="B35" s="59">
        <f t="shared" si="4"/>
        <v>1994</v>
      </c>
      <c r="C35" s="48">
        <f t="shared" si="5"/>
        <v>63347.121483042298</v>
      </c>
      <c r="D35" s="42"/>
      <c r="E35" s="49">
        <f t="shared" si="0"/>
        <v>65059.235808925223</v>
      </c>
      <c r="F35" s="44">
        <f t="shared" si="1"/>
        <v>32529.617904462611</v>
      </c>
      <c r="G35" s="44">
        <f t="shared" si="2"/>
        <v>7465.5473090741689</v>
      </c>
      <c r="H35" s="42">
        <f t="shared" si="3"/>
        <v>105054.401022462</v>
      </c>
      <c r="J35" s="33">
        <v>31</v>
      </c>
      <c r="K35" s="46">
        <f t="shared" si="6"/>
        <v>2.7027499999999934E-2</v>
      </c>
      <c r="M35" s="33">
        <v>31</v>
      </c>
      <c r="N35" s="46">
        <f t="shared" si="7"/>
        <v>6.7499999999999886E-3</v>
      </c>
    </row>
    <row r="36" spans="1:14" x14ac:dyDescent="0.3">
      <c r="A36" s="32">
        <v>32</v>
      </c>
      <c r="B36" s="32">
        <f t="shared" si="4"/>
        <v>1993</v>
      </c>
      <c r="C36" s="48">
        <f t="shared" si="5"/>
        <v>63750.959382496694</v>
      </c>
      <c r="D36" s="42"/>
      <c r="E36" s="49">
        <f t="shared" si="0"/>
        <v>65445.45988288345</v>
      </c>
      <c r="F36" s="44">
        <f t="shared" si="1"/>
        <v>32722.729941441725</v>
      </c>
      <c r="G36" s="44">
        <f t="shared" si="2"/>
        <v>7509.8665215608762</v>
      </c>
      <c r="H36" s="42">
        <f t="shared" si="3"/>
        <v>105678.05634588606</v>
      </c>
      <c r="J36" s="33">
        <v>32</v>
      </c>
      <c r="K36" s="46">
        <f t="shared" si="6"/>
        <v>2.6579999999999934E-2</v>
      </c>
      <c r="M36" s="33">
        <v>32</v>
      </c>
      <c r="N36" s="46">
        <f t="shared" si="7"/>
        <v>6.3749999999999883E-3</v>
      </c>
    </row>
    <row r="37" spans="1:14" x14ac:dyDescent="0.3">
      <c r="A37" s="32">
        <v>33</v>
      </c>
      <c r="B37" s="32">
        <f t="shared" si="4"/>
        <v>1992</v>
      </c>
      <c r="C37" s="48">
        <f t="shared" si="5"/>
        <v>64133.465138791675</v>
      </c>
      <c r="D37" s="42"/>
      <c r="E37" s="49">
        <f t="shared" si="0"/>
        <v>65809.43291653115</v>
      </c>
      <c r="F37" s="44">
        <f t="shared" si="1"/>
        <v>32904.716458265575</v>
      </c>
      <c r="G37" s="44">
        <f t="shared" si="2"/>
        <v>7551.6324271719486</v>
      </c>
      <c r="H37" s="42">
        <f t="shared" si="3"/>
        <v>106265.78180196867</v>
      </c>
      <c r="J37" s="33">
        <v>33</v>
      </c>
      <c r="K37" s="46">
        <f t="shared" si="6"/>
        <v>2.6132499999999934E-2</v>
      </c>
      <c r="M37" s="33">
        <v>33</v>
      </c>
      <c r="N37" s="46">
        <f t="shared" si="7"/>
        <v>5.999999999999988E-3</v>
      </c>
    </row>
    <row r="38" spans="1:14" x14ac:dyDescent="0.3">
      <c r="A38" s="32">
        <v>34</v>
      </c>
      <c r="B38" s="32">
        <f t="shared" si="4"/>
        <v>1991</v>
      </c>
      <c r="C38" s="48">
        <f t="shared" si="5"/>
        <v>64494.215880197378</v>
      </c>
      <c r="D38" s="42"/>
      <c r="E38" s="49">
        <f t="shared" si="0"/>
        <v>66150.749815080242</v>
      </c>
      <c r="F38" s="44">
        <f t="shared" si="1"/>
        <v>33075.374907540121</v>
      </c>
      <c r="G38" s="44">
        <f t="shared" si="2"/>
        <v>7590.7985412804574</v>
      </c>
      <c r="H38" s="42">
        <f t="shared" si="3"/>
        <v>106816.92326390081</v>
      </c>
      <c r="J38" s="33">
        <v>34</v>
      </c>
      <c r="K38" s="46">
        <f t="shared" si="6"/>
        <v>2.5684999999999934E-2</v>
      </c>
      <c r="M38" s="33">
        <v>34</v>
      </c>
      <c r="N38" s="46">
        <f t="shared" si="7"/>
        <v>5.6249999999999876E-3</v>
      </c>
    </row>
    <row r="39" spans="1:14" s="61" customFormat="1" x14ac:dyDescent="0.3">
      <c r="A39" s="51">
        <v>35</v>
      </c>
      <c r="B39" s="51">
        <f t="shared" si="4"/>
        <v>1990</v>
      </c>
      <c r="C39" s="52">
        <f t="shared" si="5"/>
        <v>64832.810513568416</v>
      </c>
      <c r="D39" s="53"/>
      <c r="E39" s="60">
        <f t="shared" si="0"/>
        <v>66469.0285689046</v>
      </c>
      <c r="F39" s="55">
        <f t="shared" si="1"/>
        <v>33234.5142844523</v>
      </c>
      <c r="G39" s="55">
        <f t="shared" si="2"/>
        <v>7627.3210282818018</v>
      </c>
      <c r="H39" s="53">
        <f t="shared" si="3"/>
        <v>107330.8638816387</v>
      </c>
      <c r="J39" s="61">
        <v>35</v>
      </c>
      <c r="K39" s="62">
        <f t="shared" si="6"/>
        <v>2.5237499999999934E-2</v>
      </c>
      <c r="M39" s="61">
        <v>35</v>
      </c>
      <c r="N39" s="62">
        <f t="shared" si="7"/>
        <v>5.2499999999999873E-3</v>
      </c>
    </row>
    <row r="40" spans="1:14" x14ac:dyDescent="0.3">
      <c r="A40" s="32">
        <v>36</v>
      </c>
      <c r="B40" s="59">
        <f t="shared" si="4"/>
        <v>1989</v>
      </c>
      <c r="C40" s="48">
        <f t="shared" si="5"/>
        <v>65148.870464822059</v>
      </c>
      <c r="D40" s="42"/>
      <c r="E40" s="49">
        <f t="shared" si="0"/>
        <v>66763.910963644987</v>
      </c>
      <c r="F40" s="44">
        <f t="shared" si="1"/>
        <v>33381.955481822493</v>
      </c>
      <c r="G40" s="44">
        <f t="shared" si="2"/>
        <v>7661.1587830782628</v>
      </c>
      <c r="H40" s="42">
        <f t="shared" si="3"/>
        <v>107807.02522854575</v>
      </c>
      <c r="J40" s="33">
        <v>36</v>
      </c>
      <c r="K40" s="46">
        <f t="shared" si="6"/>
        <v>2.4789999999999934E-2</v>
      </c>
      <c r="M40" s="33">
        <v>36</v>
      </c>
      <c r="N40" s="46">
        <f t="shared" si="7"/>
        <v>4.874999999999987E-3</v>
      </c>
    </row>
    <row r="41" spans="1:14" x14ac:dyDescent="0.3">
      <c r="A41" s="32">
        <v>37</v>
      </c>
      <c r="B41" s="32">
        <f t="shared" si="4"/>
        <v>1988</v>
      </c>
      <c r="C41" s="48">
        <f t="shared" si="5"/>
        <v>65442.040381913757</v>
      </c>
      <c r="D41" s="42"/>
      <c r="E41" s="49">
        <f t="shared" si="0"/>
        <v>67035.063249910483</v>
      </c>
      <c r="F41" s="44">
        <f t="shared" si="1"/>
        <v>33517.531624955242</v>
      </c>
      <c r="G41" s="44">
        <f t="shared" si="2"/>
        <v>7692.2735079272279</v>
      </c>
      <c r="H41" s="42">
        <f t="shared" si="3"/>
        <v>108244.86838279295</v>
      </c>
      <c r="J41" s="33">
        <v>37</v>
      </c>
      <c r="K41" s="46">
        <f t="shared" si="6"/>
        <v>2.4342499999999934E-2</v>
      </c>
      <c r="M41" s="33">
        <v>37</v>
      </c>
      <c r="N41" s="46">
        <f t="shared" si="7"/>
        <v>4.4999999999999866E-3</v>
      </c>
    </row>
    <row r="42" spans="1:14" x14ac:dyDescent="0.3">
      <c r="A42" s="32">
        <v>38</v>
      </c>
      <c r="B42" s="32">
        <f t="shared" si="4"/>
        <v>1987</v>
      </c>
      <c r="C42" s="48">
        <f t="shared" si="5"/>
        <v>65711.988798489154</v>
      </c>
      <c r="D42" s="42"/>
      <c r="E42" s="49">
        <f t="shared" si="0"/>
        <v>67282.176770829043</v>
      </c>
      <c r="F42" s="44">
        <f t="shared" si="1"/>
        <v>33641.088385414521</v>
      </c>
      <c r="G42" s="44">
        <f t="shared" si="2"/>
        <v>7720.6297844526325</v>
      </c>
      <c r="H42" s="42">
        <f t="shared" si="3"/>
        <v>108643.89494069619</v>
      </c>
      <c r="J42" s="33">
        <v>38</v>
      </c>
      <c r="K42" s="46">
        <f t="shared" si="6"/>
        <v>2.3894999999999934E-2</v>
      </c>
      <c r="M42" s="33">
        <v>38</v>
      </c>
      <c r="N42" s="46">
        <f t="shared" si="7"/>
        <v>4.1249999999999863E-3</v>
      </c>
    </row>
    <row r="43" spans="1:14" x14ac:dyDescent="0.3">
      <c r="A43" s="32">
        <v>39</v>
      </c>
      <c r="B43" s="32">
        <f t="shared" si="4"/>
        <v>1986</v>
      </c>
      <c r="C43" s="48">
        <f t="shared" si="5"/>
        <v>65958.408756483492</v>
      </c>
      <c r="D43" s="42"/>
      <c r="E43" s="49">
        <f t="shared" si="0"/>
        <v>67504.968545801137</v>
      </c>
      <c r="F43" s="44">
        <f t="shared" si="1"/>
        <v>33752.484272900569</v>
      </c>
      <c r="G43" s="44">
        <f t="shared" si="2"/>
        <v>7746.1951406306807</v>
      </c>
      <c r="H43" s="42">
        <f t="shared" si="3"/>
        <v>109003.64795933239</v>
      </c>
      <c r="J43" s="33">
        <v>39</v>
      </c>
      <c r="K43" s="46">
        <f t="shared" si="6"/>
        <v>2.3447499999999934E-2</v>
      </c>
      <c r="M43" s="33">
        <v>39</v>
      </c>
      <c r="N43" s="46">
        <f t="shared" si="7"/>
        <v>3.7499999999999864E-3</v>
      </c>
    </row>
    <row r="44" spans="1:14" s="61" customFormat="1" x14ac:dyDescent="0.3">
      <c r="A44" s="51">
        <v>40</v>
      </c>
      <c r="B44" s="51">
        <f t="shared" si="4"/>
        <v>1985</v>
      </c>
      <c r="C44" s="52">
        <f t="shared" si="5"/>
        <v>66181.018386036623</v>
      </c>
      <c r="D44" s="53"/>
      <c r="E44" s="60">
        <f t="shared" si="0"/>
        <v>67703.181808915455</v>
      </c>
      <c r="F44" s="55">
        <f t="shared" si="1"/>
        <v>33851.590904457727</v>
      </c>
      <c r="G44" s="55">
        <f t="shared" si="2"/>
        <v>7768.9401125730483</v>
      </c>
      <c r="H44" s="53">
        <f t="shared" si="3"/>
        <v>109323.71282594623</v>
      </c>
      <c r="J44" s="61">
        <v>40</v>
      </c>
      <c r="K44" s="62">
        <f t="shared" si="6"/>
        <v>2.2999999999999934E-2</v>
      </c>
      <c r="M44" s="61">
        <v>40</v>
      </c>
      <c r="N44" s="62">
        <f t="shared" si="7"/>
        <v>3.3749999999999865E-3</v>
      </c>
    </row>
    <row r="45" spans="1:14" x14ac:dyDescent="0.3">
      <c r="N45" s="46"/>
    </row>
  </sheetData>
  <sheetProtection algorithmName="SHA-512" hashValue="opfGBkbYtLAeLXQ/Q19uWbzrcugQkaeFFDdWWEXufGF5KlW8POozIARfKHzHPO6gWPo2cKp+fkCs4mU4lRigQw==" saltValue="uuA6ty54lRjTYRAAuWb7Xw==" spinCount="100000" sheet="1" objects="1" scenarios="1"/>
  <mergeCells count="2">
    <mergeCell ref="B2:C2"/>
    <mergeCell ref="K2:P2"/>
  </mergeCells>
  <pageMargins left="0.7" right="0.7" top="0.75" bottom="0.75" header="0.3" footer="0.3"/>
  <pageSetup scale="8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Reverse Calculator (2)</vt:lpstr>
      <vt:lpstr>Reverse Calculator</vt:lpstr>
      <vt:lpstr>2026 Minister Salary Table</vt:lpstr>
      <vt:lpstr>2025 Minister Salary Table</vt:lpstr>
      <vt:lpstr>'2025 Minister Salary Table'!Print_Area</vt:lpstr>
      <vt:lpstr>'Reverse Calculator'!Print_Area</vt:lpstr>
      <vt:lpstr>'Reverse Calculator (2)'!Print_Area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Annelies Seffrood</dc:creator>
  <cp:lastModifiedBy>Annelies Seffrood</cp:lastModifiedBy>
  <cp:lastPrinted>2024-11-11T21:20:36Z</cp:lastPrinted>
  <dcterms:created xsi:type="dcterms:W3CDTF">2024-11-11T21:06:45Z</dcterms:created>
  <dcterms:modified xsi:type="dcterms:W3CDTF">2025-10-17T13:08:51Z</dcterms:modified>
</cp:coreProperties>
</file>