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swissdairy-my.sharepoint.com/personal/annelies_norswissdairy_onmicrosoft_com/Documents/Anne Synod Compensation Committee/2025 Synod Guidelines/2025 Proposed Documents/"/>
    </mc:Choice>
  </mc:AlternateContent>
  <xr:revisionPtr revIDLastSave="61" documentId="8_{CA1DD5E2-5368-4C61-AE3D-073D146E3467}" xr6:coauthVersionLast="47" xr6:coauthVersionMax="47" xr10:uidLastSave="{FA3C69B7-5791-4768-8E5F-5DE9459A525D}"/>
  <bookViews>
    <workbookView xWindow="-110" yWindow="-110" windowWidth="25820" windowHeight="15500" xr2:uid="{7B1BD930-A8DD-4FE4-B8B6-A8AD7DC3BB4D}"/>
  </bookViews>
  <sheets>
    <sheet name="Directions" sheetId="4" r:id="rId1"/>
    <sheet name="Worksheet - NO Parsonage" sheetId="6" r:id="rId2"/>
    <sheet name="Example NO Parsonage " sheetId="5" r:id="rId3"/>
    <sheet name="2025 Minister Salary Table" sheetId="8" r:id="rId4"/>
    <sheet name="2024 Minister Salary Table" sheetId="7" r:id="rId5"/>
    <sheet name="2023 Minister Salary Table" sheetId="3" r:id="rId6"/>
  </sheets>
  <definedNames>
    <definedName name="_xlnm.Print_Area" localSheetId="5">'2023 Minister Salary Table'!$A:$G</definedName>
    <definedName name="_xlnm.Print_Area" localSheetId="4">'2024 Minister Salary Table'!$A:$N</definedName>
    <definedName name="_xlnm.Print_Area" localSheetId="3">'2025 Minister Salary Table'!$A:$H</definedName>
    <definedName name="_xlnm.Print_Area" localSheetId="2">'Example NO Parsonage '!$A$2:$AA$50</definedName>
    <definedName name="_xlnm.Print_Area" localSheetId="1">'Worksheet - NO Parsonage'!$A$1:$AC$45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5" l="1"/>
  <c r="Y33" i="5"/>
  <c r="U33" i="5"/>
  <c r="O33" i="5"/>
  <c r="D33" i="5"/>
  <c r="AA29" i="6"/>
  <c r="W29" i="6"/>
  <c r="F29" i="6"/>
  <c r="Y10" i="5"/>
  <c r="U10" i="5"/>
  <c r="O10" i="5"/>
  <c r="J10" i="5"/>
  <c r="Q6" i="6"/>
  <c r="L6" i="6"/>
  <c r="O5" i="8"/>
  <c r="N6" i="8" s="1"/>
  <c r="N7" i="8" s="1"/>
  <c r="N8" i="8" s="1"/>
  <c r="N9" i="8" s="1"/>
  <c r="N10" i="8" s="1"/>
  <c r="N11" i="8" s="1"/>
  <c r="N12" i="8" s="1"/>
  <c r="N13" i="8" s="1"/>
  <c r="N14" i="8" s="1"/>
  <c r="N15" i="8" s="1"/>
  <c r="N16" i="8" s="1"/>
  <c r="N17" i="8" s="1"/>
  <c r="N18" i="8" s="1"/>
  <c r="N19" i="8" s="1"/>
  <c r="N20" i="8" s="1"/>
  <c r="N21" i="8" s="1"/>
  <c r="N22" i="8" s="1"/>
  <c r="N23" i="8" s="1"/>
  <c r="N24" i="8" s="1"/>
  <c r="N25" i="8" s="1"/>
  <c r="N26" i="8" s="1"/>
  <c r="N27" i="8" s="1"/>
  <c r="N28" i="8" s="1"/>
  <c r="N29" i="8" s="1"/>
  <c r="N30" i="8" s="1"/>
  <c r="N31" i="8" s="1"/>
  <c r="N32" i="8" s="1"/>
  <c r="N33" i="8" s="1"/>
  <c r="N34" i="8" s="1"/>
  <c r="N35" i="8" s="1"/>
  <c r="N36" i="8" s="1"/>
  <c r="N37" i="8" s="1"/>
  <c r="N38" i="8" s="1"/>
  <c r="N39" i="8" s="1"/>
  <c r="N40" i="8" s="1"/>
  <c r="N41" i="8" s="1"/>
  <c r="N42" i="8" s="1"/>
  <c r="N43" i="8" s="1"/>
  <c r="N44" i="8" s="1"/>
  <c r="K5" i="8"/>
  <c r="K6" i="8" s="1"/>
  <c r="K7" i="8" s="1"/>
  <c r="K8" i="8" s="1"/>
  <c r="K9" i="8" s="1"/>
  <c r="K10" i="8" s="1"/>
  <c r="K11" i="8" s="1"/>
  <c r="K12" i="8" s="1"/>
  <c r="K13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K26" i="8" s="1"/>
  <c r="K27" i="8" s="1"/>
  <c r="K28" i="8" s="1"/>
  <c r="K29" i="8" s="1"/>
  <c r="K30" i="8" s="1"/>
  <c r="K31" i="8" s="1"/>
  <c r="K32" i="8" s="1"/>
  <c r="K33" i="8" s="1"/>
  <c r="K34" i="8" s="1"/>
  <c r="K35" i="8" s="1"/>
  <c r="K36" i="8" s="1"/>
  <c r="K37" i="8" s="1"/>
  <c r="K38" i="8" s="1"/>
  <c r="K39" i="8" s="1"/>
  <c r="K40" i="8" s="1"/>
  <c r="K41" i="8" s="1"/>
  <c r="K42" i="8" s="1"/>
  <c r="K43" i="8" s="1"/>
  <c r="K44" i="8" s="1"/>
  <c r="C5" i="8"/>
  <c r="E5" i="8" s="1"/>
  <c r="B5" i="8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L4" i="8"/>
  <c r="E4" i="8"/>
  <c r="F5" i="8" l="1"/>
  <c r="G5" i="8" s="1"/>
  <c r="H5" i="8" s="1"/>
  <c r="C6" i="8"/>
  <c r="F4" i="8"/>
  <c r="G4" i="8" s="1"/>
  <c r="H4" i="8" s="1"/>
  <c r="E6" i="8" l="1"/>
  <c r="C7" i="8"/>
  <c r="F6" i="8" l="1"/>
  <c r="E7" i="8"/>
  <c r="C8" i="8"/>
  <c r="F7" i="8" l="1"/>
  <c r="C9" i="8"/>
  <c r="E8" i="8"/>
  <c r="G6" i="8"/>
  <c r="H6" i="8" s="1"/>
  <c r="F8" i="8" l="1"/>
  <c r="P9" i="8"/>
  <c r="C10" i="8"/>
  <c r="E9" i="8"/>
  <c r="G7" i="8"/>
  <c r="H7" i="8" s="1"/>
  <c r="F9" i="8" l="1"/>
  <c r="H9" i="8" s="1"/>
  <c r="G9" i="8"/>
  <c r="G8" i="8"/>
  <c r="H8" i="8" s="1"/>
  <c r="C11" i="8"/>
  <c r="E10" i="8"/>
  <c r="E11" i="8" l="1"/>
  <c r="C12" i="8"/>
  <c r="F10" i="8"/>
  <c r="H10" i="8" l="1"/>
  <c r="G10" i="8"/>
  <c r="E12" i="8"/>
  <c r="C13" i="8"/>
  <c r="F11" i="8"/>
  <c r="G11" i="8" l="1"/>
  <c r="H11" i="8" s="1"/>
  <c r="C14" i="8"/>
  <c r="E13" i="8"/>
  <c r="F12" i="8"/>
  <c r="G12" i="8" l="1"/>
  <c r="H12" i="8" s="1"/>
  <c r="F13" i="8"/>
  <c r="C15" i="8"/>
  <c r="E14" i="8"/>
  <c r="H13" i="8" l="1"/>
  <c r="F14" i="8"/>
  <c r="C16" i="8"/>
  <c r="E15" i="8"/>
  <c r="G13" i="8"/>
  <c r="F15" i="8" l="1"/>
  <c r="E16" i="8"/>
  <c r="C17" i="8"/>
  <c r="G14" i="8"/>
  <c r="H14" i="8" s="1"/>
  <c r="C18" i="8" l="1"/>
  <c r="E17" i="8"/>
  <c r="F16" i="8"/>
  <c r="G16" i="8" s="1"/>
  <c r="G15" i="8"/>
  <c r="H15" i="8" s="1"/>
  <c r="H16" i="8" l="1"/>
  <c r="F17" i="8"/>
  <c r="C19" i="8"/>
  <c r="E18" i="8"/>
  <c r="F18" i="8" l="1"/>
  <c r="E19" i="8"/>
  <c r="C20" i="8"/>
  <c r="G17" i="8"/>
  <c r="H17" i="8" s="1"/>
  <c r="F19" i="8" l="1"/>
  <c r="C21" i="8"/>
  <c r="E20" i="8"/>
  <c r="G18" i="8"/>
  <c r="H18" i="8" s="1"/>
  <c r="F20" i="8" l="1"/>
  <c r="E21" i="8"/>
  <c r="C22" i="8"/>
  <c r="G19" i="8"/>
  <c r="H19" i="8" s="1"/>
  <c r="C23" i="8" l="1"/>
  <c r="E22" i="8"/>
  <c r="F21" i="8"/>
  <c r="G20" i="8"/>
  <c r="H20" i="8" s="1"/>
  <c r="G21" i="8" l="1"/>
  <c r="H21" i="8" s="1"/>
  <c r="F22" i="8"/>
  <c r="C24" i="8"/>
  <c r="E23" i="8"/>
  <c r="F23" i="8" l="1"/>
  <c r="C25" i="8"/>
  <c r="E24" i="8"/>
  <c r="G22" i="8"/>
  <c r="H22" i="8" s="1"/>
  <c r="F24" i="8" l="1"/>
  <c r="E25" i="8"/>
  <c r="C26" i="8"/>
  <c r="G23" i="8"/>
  <c r="H23" i="8" s="1"/>
  <c r="C27" i="8" l="1"/>
  <c r="E26" i="8"/>
  <c r="F25" i="8"/>
  <c r="G24" i="8"/>
  <c r="H24" i="8" s="1"/>
  <c r="G25" i="8" l="1"/>
  <c r="H25" i="8" s="1"/>
  <c r="C28" i="8"/>
  <c r="E27" i="8"/>
  <c r="F26" i="8"/>
  <c r="F27" i="8" l="1"/>
  <c r="G26" i="8"/>
  <c r="H26" i="8" s="1"/>
  <c r="C29" i="8"/>
  <c r="E28" i="8"/>
  <c r="F28" i="8" l="1"/>
  <c r="C30" i="8"/>
  <c r="E29" i="8"/>
  <c r="G27" i="8"/>
  <c r="H27" i="8" s="1"/>
  <c r="F29" i="8" l="1"/>
  <c r="C31" i="8"/>
  <c r="E30" i="8"/>
  <c r="G28" i="8"/>
  <c r="H28" i="8" s="1"/>
  <c r="F30" i="8" l="1"/>
  <c r="E31" i="8"/>
  <c r="C32" i="8"/>
  <c r="G29" i="8"/>
  <c r="H29" i="8" s="1"/>
  <c r="C33" i="8" l="1"/>
  <c r="E32" i="8"/>
  <c r="F31" i="8"/>
  <c r="G31" i="8" s="1"/>
  <c r="G30" i="8"/>
  <c r="H30" i="8" s="1"/>
  <c r="H31" i="8" l="1"/>
  <c r="F32" i="8"/>
  <c r="G32" i="8" s="1"/>
  <c r="C34" i="8"/>
  <c r="E33" i="8"/>
  <c r="F33" i="8" l="1"/>
  <c r="H32" i="8"/>
  <c r="E34" i="8"/>
  <c r="C35" i="8"/>
  <c r="E35" i="8" l="1"/>
  <c r="C36" i="8"/>
  <c r="F34" i="8"/>
  <c r="G33" i="8"/>
  <c r="H33" i="8" s="1"/>
  <c r="H34" i="8" l="1"/>
  <c r="G34" i="8"/>
  <c r="C37" i="8"/>
  <c r="E36" i="8"/>
  <c r="F35" i="8"/>
  <c r="G35" i="8" l="1"/>
  <c r="H35" i="8" s="1"/>
  <c r="F36" i="8"/>
  <c r="G36" i="8" s="1"/>
  <c r="H36" i="8" s="1"/>
  <c r="E37" i="8"/>
  <c r="C38" i="8"/>
  <c r="C39" i="8" l="1"/>
  <c r="E38" i="8"/>
  <c r="F37" i="8"/>
  <c r="G37" i="8" l="1"/>
  <c r="H37" i="8" s="1"/>
  <c r="F38" i="8"/>
  <c r="E39" i="8"/>
  <c r="C40" i="8"/>
  <c r="C41" i="8" l="1"/>
  <c r="E40" i="8"/>
  <c r="F39" i="8"/>
  <c r="G38" i="8"/>
  <c r="H38" i="8" s="1"/>
  <c r="G39" i="8" l="1"/>
  <c r="H39" i="8" s="1"/>
  <c r="F40" i="8"/>
  <c r="C42" i="8"/>
  <c r="E41" i="8"/>
  <c r="F41" i="8" l="1"/>
  <c r="C43" i="8"/>
  <c r="E42" i="8"/>
  <c r="G40" i="8"/>
  <c r="H40" i="8" s="1"/>
  <c r="E43" i="8" l="1"/>
  <c r="C44" i="8"/>
  <c r="E44" i="8" s="1"/>
  <c r="F42" i="8"/>
  <c r="G41" i="8"/>
  <c r="H41" i="8" s="1"/>
  <c r="G42" i="8" l="1"/>
  <c r="H42" i="8" s="1"/>
  <c r="G44" i="8"/>
  <c r="F44" i="8"/>
  <c r="H44" i="8" s="1"/>
  <c r="F43" i="8"/>
  <c r="G43" i="8" l="1"/>
  <c r="H43" i="8" s="1"/>
  <c r="D17" i="5" l="1"/>
  <c r="M15" i="5"/>
  <c r="F13" i="6" l="1"/>
  <c r="O11" i="6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U5" i="7"/>
  <c r="T6" i="7" s="1"/>
  <c r="T7" i="7" s="1"/>
  <c r="T8" i="7" s="1"/>
  <c r="T9" i="7" s="1"/>
  <c r="T10" i="7" s="1"/>
  <c r="T11" i="7" s="1"/>
  <c r="T12" i="7" s="1"/>
  <c r="T13" i="7" s="1"/>
  <c r="T14" i="7" s="1"/>
  <c r="T15" i="7" s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B5" i="7"/>
  <c r="R4" i="7"/>
  <c r="Q5" i="7" s="1"/>
  <c r="Q6" i="7" s="1"/>
  <c r="Q7" i="7" s="1"/>
  <c r="Q8" i="7" s="1"/>
  <c r="Q9" i="7" s="1"/>
  <c r="Q10" i="7" s="1"/>
  <c r="Q11" i="7" s="1"/>
  <c r="Q12" i="7" s="1"/>
  <c r="Q13" i="7" s="1"/>
  <c r="Q14" i="7" s="1"/>
  <c r="Q15" i="7" s="1"/>
  <c r="Q16" i="7" s="1"/>
  <c r="Q17" i="7" s="1"/>
  <c r="Q18" i="7" s="1"/>
  <c r="Q19" i="7" s="1"/>
  <c r="Q20" i="7" s="1"/>
  <c r="Q21" i="7" s="1"/>
  <c r="Q22" i="7" s="1"/>
  <c r="Q23" i="7" s="1"/>
  <c r="Q24" i="7" s="1"/>
  <c r="Q25" i="7" s="1"/>
  <c r="Q26" i="7" s="1"/>
  <c r="Q27" i="7" s="1"/>
  <c r="Q28" i="7" s="1"/>
  <c r="Q29" i="7" s="1"/>
  <c r="Q30" i="7" s="1"/>
  <c r="Q31" i="7" s="1"/>
  <c r="Q32" i="7" s="1"/>
  <c r="Q33" i="7" s="1"/>
  <c r="Q34" i="7" s="1"/>
  <c r="Q35" i="7" s="1"/>
  <c r="Q36" i="7" s="1"/>
  <c r="Q37" i="7" s="1"/>
  <c r="Q38" i="7" s="1"/>
  <c r="Q39" i="7" s="1"/>
  <c r="Q40" i="7" s="1"/>
  <c r="Q41" i="7" s="1"/>
  <c r="Q42" i="7" s="1"/>
  <c r="Q43" i="7" s="1"/>
  <c r="Q44" i="7" s="1"/>
  <c r="E4" i="7"/>
  <c r="Q8" i="6" l="1"/>
  <c r="Q13" i="6" s="1"/>
  <c r="L8" i="6"/>
  <c r="L13" i="6" s="1"/>
  <c r="F4" i="7"/>
  <c r="L4" i="7"/>
  <c r="M4" i="7" s="1"/>
  <c r="N4" i="7" s="1"/>
  <c r="C5" i="7"/>
  <c r="H4" i="7"/>
  <c r="I4" i="7" s="1"/>
  <c r="J4" i="7" l="1"/>
  <c r="D5" i="7"/>
  <c r="E5" i="7"/>
  <c r="H5" i="7"/>
  <c r="C6" i="7"/>
  <c r="I5" i="7" l="1"/>
  <c r="J5" i="7" s="1"/>
  <c r="H6" i="7"/>
  <c r="E6" i="7"/>
  <c r="I6" i="7"/>
  <c r="J6" i="7" s="1"/>
  <c r="D6" i="7"/>
  <c r="C7" i="7"/>
  <c r="L5" i="7"/>
  <c r="F5" i="7"/>
  <c r="C8" i="7" l="1"/>
  <c r="H7" i="7"/>
  <c r="D7" i="7"/>
  <c r="E7" i="7"/>
  <c r="F6" i="7"/>
  <c r="L6" i="7"/>
  <c r="M6" i="7"/>
  <c r="N6" i="7" s="1"/>
  <c r="M5" i="7"/>
  <c r="N5" i="7" s="1"/>
  <c r="I7" i="7" l="1"/>
  <c r="J7" i="7" s="1"/>
  <c r="L7" i="7"/>
  <c r="M7" i="7" s="1"/>
  <c r="F7" i="7"/>
  <c r="E8" i="7"/>
  <c r="D8" i="7"/>
  <c r="C9" i="7"/>
  <c r="H8" i="7"/>
  <c r="L8" i="7" l="1"/>
  <c r="F8" i="7"/>
  <c r="N7" i="7"/>
  <c r="I8" i="7"/>
  <c r="J8" i="7" s="1"/>
  <c r="C10" i="7"/>
  <c r="H9" i="7"/>
  <c r="I9" i="7" s="1"/>
  <c r="J9" i="7" s="1"/>
  <c r="E9" i="7"/>
  <c r="D9" i="7"/>
  <c r="H10" i="7" l="1"/>
  <c r="C11" i="7"/>
  <c r="E10" i="7"/>
  <c r="D10" i="7"/>
  <c r="M8" i="7"/>
  <c r="N8" i="7" s="1"/>
  <c r="F9" i="7"/>
  <c r="L9" i="7"/>
  <c r="M9" i="7" s="1"/>
  <c r="N9" i="7" s="1"/>
  <c r="I10" i="7" l="1"/>
  <c r="J10" i="7" s="1"/>
  <c r="E11" i="7"/>
  <c r="D11" i="7"/>
  <c r="C12" i="7"/>
  <c r="H11" i="7"/>
  <c r="L10" i="7"/>
  <c r="M10" i="7" s="1"/>
  <c r="N10" i="7" s="1"/>
  <c r="F10" i="7"/>
  <c r="F11" i="7" l="1"/>
  <c r="L11" i="7"/>
  <c r="M11" i="7" s="1"/>
  <c r="I11" i="7"/>
  <c r="J11" i="7" s="1"/>
  <c r="C13" i="7"/>
  <c r="H12" i="7"/>
  <c r="I12" i="7" s="1"/>
  <c r="J12" i="7" s="1"/>
  <c r="E12" i="7"/>
  <c r="D12" i="7"/>
  <c r="D13" i="7" l="1"/>
  <c r="H13" i="7"/>
  <c r="I13" i="7" s="1"/>
  <c r="J13" i="7" s="1"/>
  <c r="C14" i="7"/>
  <c r="E13" i="7"/>
  <c r="N11" i="7"/>
  <c r="L12" i="7"/>
  <c r="F12" i="7"/>
  <c r="H14" i="7" l="1"/>
  <c r="E14" i="7"/>
  <c r="D14" i="7"/>
  <c r="C15" i="7"/>
  <c r="L13" i="7"/>
  <c r="F13" i="7"/>
  <c r="M12" i="7"/>
  <c r="N12" i="7" s="1"/>
  <c r="I14" i="7" l="1"/>
  <c r="J14" i="7" s="1"/>
  <c r="M13" i="7"/>
  <c r="N13" i="7" s="1"/>
  <c r="C16" i="7"/>
  <c r="H15" i="7"/>
  <c r="E15" i="7"/>
  <c r="D15" i="7"/>
  <c r="F14" i="7"/>
  <c r="L14" i="7"/>
  <c r="M14" i="7" s="1"/>
  <c r="N14" i="7" s="1"/>
  <c r="L15" i="7" l="1"/>
  <c r="M15" i="7" s="1"/>
  <c r="N15" i="7" s="1"/>
  <c r="F15" i="7"/>
  <c r="E16" i="7"/>
  <c r="D16" i="7"/>
  <c r="H16" i="7"/>
  <c r="C17" i="7"/>
  <c r="I15" i="7"/>
  <c r="J15" i="7" s="1"/>
  <c r="I16" i="7" l="1"/>
  <c r="J16" i="7" s="1"/>
  <c r="L16" i="7"/>
  <c r="F16" i="7"/>
  <c r="C18" i="7"/>
  <c r="H17" i="7"/>
  <c r="E17" i="7"/>
  <c r="D17" i="7"/>
  <c r="H18" i="7" l="1"/>
  <c r="I18" i="7" s="1"/>
  <c r="C19" i="7"/>
  <c r="E18" i="7"/>
  <c r="D18" i="7"/>
  <c r="M16" i="7"/>
  <c r="N16" i="7" s="1"/>
  <c r="I17" i="7"/>
  <c r="J17" i="7" s="1"/>
  <c r="F17" i="7"/>
  <c r="L17" i="7"/>
  <c r="M17" i="7" s="1"/>
  <c r="J18" i="7" l="1"/>
  <c r="L18" i="7"/>
  <c r="M18" i="7" s="1"/>
  <c r="N18" i="7" s="1"/>
  <c r="F18" i="7"/>
  <c r="N17" i="7"/>
  <c r="E19" i="7"/>
  <c r="D19" i="7"/>
  <c r="H19" i="7"/>
  <c r="C20" i="7"/>
  <c r="I19" i="7" l="1"/>
  <c r="J19" i="7" s="1"/>
  <c r="F19" i="7"/>
  <c r="L19" i="7"/>
  <c r="C21" i="7"/>
  <c r="H20" i="7"/>
  <c r="I20" i="7" s="1"/>
  <c r="J20" i="7" s="1"/>
  <c r="E20" i="7"/>
  <c r="D20" i="7"/>
  <c r="M19" i="7" l="1"/>
  <c r="N19" i="7" s="1"/>
  <c r="D21" i="7"/>
  <c r="C22" i="7"/>
  <c r="H21" i="7"/>
  <c r="E21" i="7"/>
  <c r="F20" i="7"/>
  <c r="L20" i="7"/>
  <c r="H22" i="7" l="1"/>
  <c r="I22" i="7" s="1"/>
  <c r="J22" i="7" s="1"/>
  <c r="E22" i="7"/>
  <c r="D22" i="7"/>
  <c r="C23" i="7"/>
  <c r="L21" i="7"/>
  <c r="M21" i="7" s="1"/>
  <c r="N21" i="7" s="1"/>
  <c r="F21" i="7"/>
  <c r="I21" i="7"/>
  <c r="J21" i="7" s="1"/>
  <c r="M20" i="7"/>
  <c r="N20" i="7" s="1"/>
  <c r="C24" i="7" l="1"/>
  <c r="H23" i="7"/>
  <c r="I23" i="7" s="1"/>
  <c r="J23" i="7" s="1"/>
  <c r="E23" i="7"/>
  <c r="D23" i="7"/>
  <c r="F22" i="7"/>
  <c r="L22" i="7"/>
  <c r="M22" i="7" s="1"/>
  <c r="L23" i="7" l="1"/>
  <c r="M23" i="7"/>
  <c r="N23" i="7" s="1"/>
  <c r="F23" i="7"/>
  <c r="N22" i="7"/>
  <c r="E24" i="7"/>
  <c r="D24" i="7"/>
  <c r="C25" i="7"/>
  <c r="H24" i="7"/>
  <c r="I24" i="7" s="1"/>
  <c r="J24" i="7" s="1"/>
  <c r="C26" i="7" l="1"/>
  <c r="H25" i="7"/>
  <c r="I25" i="7" s="1"/>
  <c r="J25" i="7" s="1"/>
  <c r="E25" i="7"/>
  <c r="D25" i="7"/>
  <c r="L24" i="7"/>
  <c r="F24" i="7"/>
  <c r="M24" i="7" l="1"/>
  <c r="N24" i="7" s="1"/>
  <c r="C27" i="7"/>
  <c r="E26" i="7"/>
  <c r="D26" i="7"/>
  <c r="H26" i="7"/>
  <c r="F25" i="7"/>
  <c r="L25" i="7"/>
  <c r="I26" i="7" l="1"/>
  <c r="J26" i="7" s="1"/>
  <c r="M25" i="7"/>
  <c r="N25" i="7" s="1"/>
  <c r="L26" i="7"/>
  <c r="M26" i="7" s="1"/>
  <c r="N26" i="7" s="1"/>
  <c r="F26" i="7"/>
  <c r="E27" i="7"/>
  <c r="D27" i="7"/>
  <c r="C28" i="7"/>
  <c r="H27" i="7"/>
  <c r="I27" i="7" s="1"/>
  <c r="J27" i="7" l="1"/>
  <c r="C29" i="7"/>
  <c r="H28" i="7"/>
  <c r="I28" i="7" s="1"/>
  <c r="E28" i="7"/>
  <c r="D28" i="7"/>
  <c r="F27" i="7"/>
  <c r="L27" i="7"/>
  <c r="M27" i="7" s="1"/>
  <c r="N27" i="7" l="1"/>
  <c r="J28" i="7"/>
  <c r="F28" i="7"/>
  <c r="L28" i="7"/>
  <c r="D29" i="7"/>
  <c r="E29" i="7"/>
  <c r="H29" i="7"/>
  <c r="C30" i="7"/>
  <c r="I29" i="7"/>
  <c r="J29" i="7" s="1"/>
  <c r="M28" i="7" l="1"/>
  <c r="N28" i="7" s="1"/>
  <c r="H30" i="7"/>
  <c r="I30" i="7" s="1"/>
  <c r="J30" i="7" s="1"/>
  <c r="E30" i="7"/>
  <c r="D30" i="7"/>
  <c r="C31" i="7"/>
  <c r="L29" i="7"/>
  <c r="M29" i="7" s="1"/>
  <c r="N29" i="7" s="1"/>
  <c r="F29" i="7"/>
  <c r="H31" i="7" l="1"/>
  <c r="I31" i="7" s="1"/>
  <c r="J31" i="7" s="1"/>
  <c r="C32" i="7"/>
  <c r="E31" i="7"/>
  <c r="D31" i="7"/>
  <c r="F30" i="7"/>
  <c r="L30" i="7"/>
  <c r="M30" i="7"/>
  <c r="N30" i="7" l="1"/>
  <c r="L31" i="7"/>
  <c r="M31" i="7" s="1"/>
  <c r="F31" i="7"/>
  <c r="E32" i="7"/>
  <c r="D32" i="7"/>
  <c r="H32" i="7"/>
  <c r="C33" i="7"/>
  <c r="N31" i="7" l="1"/>
  <c r="I32" i="7"/>
  <c r="J32" i="7" s="1"/>
  <c r="C34" i="7"/>
  <c r="H33" i="7"/>
  <c r="I33" i="7" s="1"/>
  <c r="J33" i="7" s="1"/>
  <c r="E33" i="7"/>
  <c r="D33" i="7"/>
  <c r="L32" i="7"/>
  <c r="F32" i="7"/>
  <c r="F33" i="7" l="1"/>
  <c r="L33" i="7"/>
  <c r="M33" i="7" s="1"/>
  <c r="M32" i="7"/>
  <c r="N32" i="7" s="1"/>
  <c r="C35" i="7"/>
  <c r="H34" i="7"/>
  <c r="E34" i="7"/>
  <c r="D34" i="7"/>
  <c r="I34" i="7" l="1"/>
  <c r="J34" i="7" s="1"/>
  <c r="E35" i="7"/>
  <c r="D35" i="7"/>
  <c r="H35" i="7"/>
  <c r="C36" i="7"/>
  <c r="I35" i="7"/>
  <c r="L34" i="7"/>
  <c r="F34" i="7"/>
  <c r="N33" i="7"/>
  <c r="J35" i="7" l="1"/>
  <c r="M34" i="7"/>
  <c r="N34" i="7" s="1"/>
  <c r="C37" i="7"/>
  <c r="H36" i="7"/>
  <c r="D36" i="7"/>
  <c r="E36" i="7"/>
  <c r="F35" i="7"/>
  <c r="L35" i="7"/>
  <c r="M35" i="7" s="1"/>
  <c r="I36" i="7" l="1"/>
  <c r="J36" i="7" s="1"/>
  <c r="N35" i="7"/>
  <c r="D37" i="7"/>
  <c r="H37" i="7"/>
  <c r="I37" i="7"/>
  <c r="E37" i="7"/>
  <c r="C38" i="7"/>
  <c r="F36" i="7"/>
  <c r="L36" i="7"/>
  <c r="M36" i="7" s="1"/>
  <c r="N36" i="7" s="1"/>
  <c r="J37" i="7" l="1"/>
  <c r="H38" i="7"/>
  <c r="D38" i="7"/>
  <c r="E38" i="7"/>
  <c r="C39" i="7"/>
  <c r="L37" i="7"/>
  <c r="F37" i="7"/>
  <c r="M37" i="7" l="1"/>
  <c r="N37" i="7" s="1"/>
  <c r="I38" i="7"/>
  <c r="J38" i="7" s="1"/>
  <c r="H39" i="7"/>
  <c r="C40" i="7"/>
  <c r="I39" i="7"/>
  <c r="E39" i="7"/>
  <c r="D39" i="7"/>
  <c r="F38" i="7"/>
  <c r="L38" i="7"/>
  <c r="M38" i="7" s="1"/>
  <c r="J39" i="7" l="1"/>
  <c r="N38" i="7"/>
  <c r="L39" i="7"/>
  <c r="M39" i="7"/>
  <c r="N39" i="7" s="1"/>
  <c r="F39" i="7"/>
  <c r="E40" i="7"/>
  <c r="D40" i="7"/>
  <c r="C41" i="7"/>
  <c r="H40" i="7"/>
  <c r="I40" i="7" l="1"/>
  <c r="J40" i="7" s="1"/>
  <c r="C42" i="7"/>
  <c r="H41" i="7"/>
  <c r="I41" i="7" s="1"/>
  <c r="J41" i="7" s="1"/>
  <c r="E41" i="7"/>
  <c r="D41" i="7"/>
  <c r="L40" i="7"/>
  <c r="M40" i="7" s="1"/>
  <c r="F40" i="7"/>
  <c r="N40" i="7" l="1"/>
  <c r="F41" i="7"/>
  <c r="L41" i="7"/>
  <c r="M41" i="7" s="1"/>
  <c r="N41" i="7" s="1"/>
  <c r="C43" i="7"/>
  <c r="E42" i="7"/>
  <c r="D42" i="7"/>
  <c r="H42" i="7"/>
  <c r="I42" i="7" s="1"/>
  <c r="J42" i="7" s="1"/>
  <c r="E43" i="7" l="1"/>
  <c r="D43" i="7"/>
  <c r="H43" i="7"/>
  <c r="C44" i="7"/>
  <c r="L42" i="7"/>
  <c r="F42" i="7"/>
  <c r="M42" i="7" l="1"/>
  <c r="N42" i="7" s="1"/>
  <c r="H44" i="7"/>
  <c r="E44" i="7"/>
  <c r="D44" i="7"/>
  <c r="I43" i="7"/>
  <c r="J43" i="7" s="1"/>
  <c r="F43" i="7"/>
  <c r="L43" i="7"/>
  <c r="M43" i="7" s="1"/>
  <c r="F44" i="7" l="1"/>
  <c r="L44" i="7"/>
  <c r="M44" i="7" s="1"/>
  <c r="I44" i="7"/>
  <c r="J44" i="7" s="1"/>
  <c r="N43" i="7"/>
  <c r="N44" i="7" l="1"/>
  <c r="AA21" i="6" l="1"/>
  <c r="W21" i="6"/>
  <c r="Q21" i="6"/>
  <c r="L21" i="6"/>
  <c r="H6" i="6" l="1"/>
  <c r="N6" i="6"/>
  <c r="S6" i="6"/>
  <c r="Y6" i="6"/>
  <c r="AC6" i="6"/>
  <c r="AC27" i="6"/>
  <c r="Y27" i="6"/>
  <c r="S27" i="6"/>
  <c r="O27" i="6"/>
  <c r="N27" i="6"/>
  <c r="H27" i="6"/>
  <c r="AC20" i="6"/>
  <c r="Y20" i="6"/>
  <c r="AC18" i="6"/>
  <c r="Y18" i="6"/>
  <c r="AA13" i="6"/>
  <c r="AA15" i="6" s="1"/>
  <c r="W13" i="6"/>
  <c r="W15" i="6" s="1"/>
  <c r="AC11" i="6"/>
  <c r="Y11" i="6"/>
  <c r="S11" i="6"/>
  <c r="H11" i="6"/>
  <c r="AC8" i="6"/>
  <c r="Y8" i="6"/>
  <c r="H8" i="6"/>
  <c r="Y12" i="5"/>
  <c r="Y25" i="5"/>
  <c r="U25" i="5"/>
  <c r="O25" i="5"/>
  <c r="J25" i="5"/>
  <c r="D25" i="5"/>
  <c r="O12" i="5"/>
  <c r="O17" i="5" s="1"/>
  <c r="J12" i="5"/>
  <c r="J17" i="5" s="1"/>
  <c r="S8" i="6" l="1"/>
  <c r="O6" i="6"/>
  <c r="AA25" i="6"/>
  <c r="AC15" i="6"/>
  <c r="AC29" i="6"/>
  <c r="Y29" i="6"/>
  <c r="W25" i="6"/>
  <c r="Y15" i="6"/>
  <c r="Y13" i="6"/>
  <c r="Y21" i="6"/>
  <c r="AC13" i="6"/>
  <c r="F15" i="6"/>
  <c r="AC21" i="6"/>
  <c r="L15" i="6"/>
  <c r="L29" i="6" s="1"/>
  <c r="H13" i="6"/>
  <c r="AA31" i="5"/>
  <c r="W31" i="5"/>
  <c r="Q31" i="5"/>
  <c r="M31" i="5"/>
  <c r="L31" i="5"/>
  <c r="F31" i="5"/>
  <c r="AA24" i="5"/>
  <c r="W24" i="5"/>
  <c r="AA22" i="5"/>
  <c r="W22" i="5"/>
  <c r="Y17" i="5"/>
  <c r="Y19" i="5" s="1"/>
  <c r="AA33" i="5" s="1"/>
  <c r="U17" i="5"/>
  <c r="U19" i="5" s="1"/>
  <c r="F17" i="5"/>
  <c r="AA15" i="5"/>
  <c r="W15" i="5"/>
  <c r="Q15" i="5"/>
  <c r="F15" i="5"/>
  <c r="AA12" i="5"/>
  <c r="W12" i="5"/>
  <c r="F12" i="5"/>
  <c r="AA10" i="5"/>
  <c r="W10" i="5"/>
  <c r="F10" i="5"/>
  <c r="S13" i="6" l="1"/>
  <c r="N15" i="6"/>
  <c r="L25" i="6"/>
  <c r="O15" i="6"/>
  <c r="H29" i="6"/>
  <c r="F25" i="6"/>
  <c r="F30" i="6" s="1"/>
  <c r="H15" i="6"/>
  <c r="W30" i="6"/>
  <c r="Y25" i="6"/>
  <c r="F21" i="6"/>
  <c r="H21" i="6" s="1"/>
  <c r="O13" i="6"/>
  <c r="N13" i="6"/>
  <c r="O8" i="6"/>
  <c r="N8" i="6"/>
  <c r="AA30" i="6"/>
  <c r="AC30" i="6" s="1"/>
  <c r="AC25" i="6"/>
  <c r="W19" i="5"/>
  <c r="W33" i="5"/>
  <c r="D19" i="5"/>
  <c r="F33" i="5" s="1"/>
  <c r="AA17" i="5"/>
  <c r="AA25" i="5"/>
  <c r="W25" i="5"/>
  <c r="W17" i="5"/>
  <c r="U29" i="5"/>
  <c r="L10" i="5"/>
  <c r="AA19" i="5"/>
  <c r="M10" i="5"/>
  <c r="Y29" i="5"/>
  <c r="Q12" i="5"/>
  <c r="Q10" i="5"/>
  <c r="AA33" i="6" l="1"/>
  <c r="AC33" i="6" s="1"/>
  <c r="Q15" i="6"/>
  <c r="D29" i="5"/>
  <c r="H25" i="6"/>
  <c r="O29" i="6"/>
  <c r="N29" i="6"/>
  <c r="Y30" i="6"/>
  <c r="W33" i="6"/>
  <c r="Y33" i="6" s="1"/>
  <c r="O21" i="6"/>
  <c r="N21" i="6"/>
  <c r="O25" i="6"/>
  <c r="L30" i="6"/>
  <c r="N25" i="6"/>
  <c r="F19" i="5"/>
  <c r="AA29" i="5"/>
  <c r="Y34" i="5"/>
  <c r="M12" i="5"/>
  <c r="L12" i="5"/>
  <c r="W29" i="5"/>
  <c r="U34" i="5"/>
  <c r="F29" i="5"/>
  <c r="D34" i="5"/>
  <c r="O19" i="5"/>
  <c r="Q33" i="5" s="1"/>
  <c r="S21" i="6" l="1"/>
  <c r="Q29" i="6"/>
  <c r="S15" i="6"/>
  <c r="S29" i="6"/>
  <c r="Q25" i="6"/>
  <c r="S25" i="6" s="1"/>
  <c r="O30" i="6"/>
  <c r="N30" i="6"/>
  <c r="L33" i="6"/>
  <c r="H30" i="6"/>
  <c r="F33" i="6"/>
  <c r="H33" i="6" s="1"/>
  <c r="Q19" i="5"/>
  <c r="O29" i="5"/>
  <c r="W34" i="5"/>
  <c r="U37" i="5"/>
  <c r="W37" i="5" s="1"/>
  <c r="F34" i="5"/>
  <c r="D37" i="5"/>
  <c r="F37" i="5" s="1"/>
  <c r="L17" i="5"/>
  <c r="M17" i="5"/>
  <c r="Q25" i="5"/>
  <c r="Q17" i="5"/>
  <c r="AA34" i="5"/>
  <c r="Y37" i="5"/>
  <c r="AA37" i="5" s="1"/>
  <c r="J19" i="5"/>
  <c r="Q30" i="6" l="1"/>
  <c r="S30" i="6" s="1"/>
  <c r="O33" i="6"/>
  <c r="N33" i="6"/>
  <c r="M33" i="5"/>
  <c r="L33" i="5"/>
  <c r="J29" i="5"/>
  <c r="M19" i="5"/>
  <c r="L19" i="5"/>
  <c r="O34" i="5"/>
  <c r="Q29" i="5"/>
  <c r="J4" i="3"/>
  <c r="I5" i="3" s="1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M5" i="3"/>
  <c r="L6" i="3" s="1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L41" i="3" s="1"/>
  <c r="L42" i="3" s="1"/>
  <c r="L43" i="3" s="1"/>
  <c r="L44" i="3" s="1"/>
  <c r="B5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E4" i="3"/>
  <c r="Q33" i="6" l="1"/>
  <c r="S33" i="6" s="1"/>
  <c r="M25" i="5"/>
  <c r="Q34" i="5"/>
  <c r="O37" i="5"/>
  <c r="Q37" i="5" s="1"/>
  <c r="M29" i="5"/>
  <c r="L29" i="5"/>
  <c r="J34" i="5"/>
  <c r="C5" i="3"/>
  <c r="C6" i="3" s="1"/>
  <c r="F4" i="3"/>
  <c r="M34" i="5" l="1"/>
  <c r="L34" i="5"/>
  <c r="J37" i="5"/>
  <c r="E5" i="3"/>
  <c r="D5" i="3"/>
  <c r="F5" i="3"/>
  <c r="D6" i="3"/>
  <c r="C7" i="3"/>
  <c r="E6" i="3"/>
  <c r="L37" i="5" l="1"/>
  <c r="M37" i="5"/>
  <c r="D7" i="3"/>
  <c r="E7" i="3"/>
  <c r="C8" i="3"/>
  <c r="F6" i="3"/>
  <c r="F7" i="3" l="1"/>
  <c r="D8" i="3"/>
  <c r="C9" i="3"/>
  <c r="E8" i="3"/>
  <c r="F8" i="3" l="1"/>
  <c r="E9" i="3"/>
  <c r="D9" i="3"/>
  <c r="C10" i="3"/>
  <c r="F9" i="3" l="1"/>
  <c r="C11" i="3"/>
  <c r="E10" i="3"/>
  <c r="D10" i="3"/>
  <c r="F10" i="3" l="1"/>
  <c r="C12" i="3"/>
  <c r="D11" i="3"/>
  <c r="E11" i="3"/>
  <c r="E12" i="3" l="1"/>
  <c r="D12" i="3"/>
  <c r="C13" i="3"/>
  <c r="F11" i="3"/>
  <c r="C14" i="3" l="1"/>
  <c r="E13" i="3"/>
  <c r="D13" i="3"/>
  <c r="F12" i="3"/>
  <c r="F13" i="3" l="1"/>
  <c r="D14" i="3"/>
  <c r="C15" i="3"/>
  <c r="E14" i="3"/>
  <c r="F14" i="3" l="1"/>
  <c r="D15" i="3"/>
  <c r="C16" i="3"/>
  <c r="E15" i="3"/>
  <c r="F15" i="3" l="1"/>
  <c r="C17" i="3"/>
  <c r="E16" i="3"/>
  <c r="D16" i="3"/>
  <c r="F16" i="3" l="1"/>
  <c r="E17" i="3"/>
  <c r="D17" i="3"/>
  <c r="C18" i="3"/>
  <c r="F17" i="3" l="1"/>
  <c r="C19" i="3"/>
  <c r="E18" i="3"/>
  <c r="D18" i="3"/>
  <c r="C20" i="3" l="1"/>
  <c r="E19" i="3"/>
  <c r="D19" i="3"/>
  <c r="F18" i="3"/>
  <c r="F19" i="3" l="1"/>
  <c r="E20" i="3"/>
  <c r="D20" i="3"/>
  <c r="C21" i="3"/>
  <c r="F20" i="3" l="1"/>
  <c r="C22" i="3"/>
  <c r="E21" i="3"/>
  <c r="D21" i="3"/>
  <c r="D22" i="3" l="1"/>
  <c r="C23" i="3"/>
  <c r="E22" i="3"/>
  <c r="F21" i="3"/>
  <c r="F22" i="3" l="1"/>
  <c r="D23" i="3"/>
  <c r="E23" i="3"/>
  <c r="C24" i="3"/>
  <c r="C25" i="3" l="1"/>
  <c r="D24" i="3"/>
  <c r="E24" i="3"/>
  <c r="F23" i="3"/>
  <c r="E25" i="3" l="1"/>
  <c r="D25" i="3"/>
  <c r="C26" i="3"/>
  <c r="F24" i="3"/>
  <c r="C27" i="3" l="1"/>
  <c r="E26" i="3"/>
  <c r="D26" i="3"/>
  <c r="F25" i="3"/>
  <c r="F26" i="3" l="1"/>
  <c r="C28" i="3"/>
  <c r="E27" i="3"/>
  <c r="D27" i="3"/>
  <c r="F27" i="3" l="1"/>
  <c r="E28" i="3"/>
  <c r="D28" i="3"/>
  <c r="C29" i="3"/>
  <c r="C30" i="3" l="1"/>
  <c r="E29" i="3"/>
  <c r="D29" i="3"/>
  <c r="F28" i="3"/>
  <c r="F29" i="3" l="1"/>
  <c r="D30" i="3"/>
  <c r="C31" i="3"/>
  <c r="E30" i="3"/>
  <c r="F30" i="3" l="1"/>
  <c r="E31" i="3"/>
  <c r="D31" i="3"/>
  <c r="C32" i="3"/>
  <c r="C33" i="3" l="1"/>
  <c r="E32" i="3"/>
  <c r="D32" i="3"/>
  <c r="F31" i="3"/>
  <c r="F32" i="3" l="1"/>
  <c r="E33" i="3"/>
  <c r="D33" i="3"/>
  <c r="C34" i="3"/>
  <c r="C35" i="3" l="1"/>
  <c r="E34" i="3"/>
  <c r="D34" i="3"/>
  <c r="F33" i="3"/>
  <c r="F34" i="3" l="1"/>
  <c r="C36" i="3"/>
  <c r="D35" i="3"/>
  <c r="E35" i="3"/>
  <c r="D36" i="3" l="1"/>
  <c r="E36" i="3"/>
  <c r="C37" i="3"/>
  <c r="F35" i="3"/>
  <c r="C38" i="3" l="1"/>
  <c r="E37" i="3"/>
  <c r="D37" i="3"/>
  <c r="F36" i="3"/>
  <c r="F37" i="3" l="1"/>
  <c r="D38" i="3"/>
  <c r="C39" i="3"/>
  <c r="E38" i="3"/>
  <c r="E39" i="3" l="1"/>
  <c r="D39" i="3"/>
  <c r="C40" i="3"/>
  <c r="F38" i="3"/>
  <c r="C41" i="3" l="1"/>
  <c r="E40" i="3"/>
  <c r="D40" i="3"/>
  <c r="F39" i="3"/>
  <c r="F40" i="3" l="1"/>
  <c r="E41" i="3"/>
  <c r="D41" i="3"/>
  <c r="C42" i="3"/>
  <c r="F41" i="3" l="1"/>
  <c r="C43" i="3"/>
  <c r="E42" i="3"/>
  <c r="D42" i="3"/>
  <c r="F42" i="3" l="1"/>
  <c r="C44" i="3"/>
  <c r="E43" i="3"/>
  <c r="D43" i="3"/>
  <c r="F43" i="3" l="1"/>
  <c r="D44" i="3"/>
  <c r="E44" i="3"/>
  <c r="F44" i="3" l="1"/>
  <c r="L25" i="5" l="1"/>
  <c r="F25" i="5"/>
</calcChain>
</file>

<file path=xl/sharedStrings.xml><?xml version="1.0" encoding="utf-8"?>
<sst xmlns="http://schemas.openxmlformats.org/spreadsheetml/2006/main" count="198" uniqueCount="120">
  <si>
    <t>Directions for using the Compensation &amp; Benefit Worksheet</t>
  </si>
  <si>
    <t>1.</t>
  </si>
  <si>
    <t>Enter the year of Ordination in the yellow box (The formulas will not work for pastor ordained more than 40 years ago.  You will need to use custom amounts.)</t>
  </si>
  <si>
    <t>year of ordination</t>
  </si>
  <si>
    <t>2.</t>
  </si>
  <si>
    <t>Enter the % of Base Salary for the Housing Allowance in the green box.  When there is a parsonage, Portico values the parsonage &amp; expenses at 30% of base salary</t>
  </si>
  <si>
    <t>housing % of base</t>
  </si>
  <si>
    <t>3.</t>
  </si>
  <si>
    <t>Contact Portico Benefit Services (online calculator is available).  Enter the amounts for Health Insurance and Disability/Other Insurance in the Blue Boxes.  The amounts are based on total defined compensation.</t>
  </si>
  <si>
    <t>Portico amounts</t>
  </si>
  <si>
    <t>4.</t>
  </si>
  <si>
    <t>Enter all other amounts applicable in the grey boxes.  If the category does not apply, simply leave the box empty</t>
  </si>
  <si>
    <t>enter custom amounts</t>
  </si>
  <si>
    <t>5.</t>
  </si>
  <si>
    <t>All other cells will update as information is entered or changed.  The cells are locked.</t>
  </si>
  <si>
    <t>formula driven</t>
  </si>
  <si>
    <t>Year of Ordination</t>
  </si>
  <si>
    <t>Housing Allowance % of Base</t>
  </si>
  <si>
    <t>Current Year</t>
  </si>
  <si>
    <t>Currently Monthly</t>
  </si>
  <si>
    <t>Next Year - Low Guideline</t>
  </si>
  <si>
    <t>Change 2019 to 2020</t>
  </si>
  <si>
    <t>Next year- low monthly</t>
  </si>
  <si>
    <t>Next Year - High Guideline</t>
  </si>
  <si>
    <t>Next year - high monthly</t>
  </si>
  <si>
    <t>Next Year - Custom 1</t>
  </si>
  <si>
    <t>Next year - custom monthly</t>
  </si>
  <si>
    <t>Next Year - Custom 2</t>
  </si>
  <si>
    <t>Defined Compensation</t>
  </si>
  <si>
    <t>A1</t>
  </si>
  <si>
    <t>Base Salary</t>
  </si>
  <si>
    <t>A2</t>
  </si>
  <si>
    <t xml:space="preserve">     (FICA-yes, income tax exempt)</t>
  </si>
  <si>
    <t>A3</t>
  </si>
  <si>
    <t>Additional Considerations</t>
  </si>
  <si>
    <t>A4</t>
  </si>
  <si>
    <t>FICA Reimbursement</t>
  </si>
  <si>
    <t>(7.65% of A1+A2+A3)</t>
  </si>
  <si>
    <t>A5</t>
  </si>
  <si>
    <t>Total Defined Compensation (A1+A2+A3+A4)</t>
  </si>
  <si>
    <t>Additional Compensation</t>
  </si>
  <si>
    <t>B1</t>
  </si>
  <si>
    <t>Annuities, Additional Pension</t>
  </si>
  <si>
    <t>B2</t>
  </si>
  <si>
    <t>Other Compensation</t>
  </si>
  <si>
    <t>B3</t>
  </si>
  <si>
    <t>Total Additional Compensation (B1+B2)</t>
  </si>
  <si>
    <t>ELCA Pension &amp; Benefits</t>
  </si>
  <si>
    <t>C1</t>
  </si>
  <si>
    <t>Pension (10% * A5)</t>
  </si>
  <si>
    <t>C2</t>
  </si>
  <si>
    <t>Health Ins - check with Portico</t>
  </si>
  <si>
    <t>C3</t>
  </si>
  <si>
    <t>C4</t>
  </si>
  <si>
    <t>Total Pension and Benefits (C1+C2+C3)</t>
  </si>
  <si>
    <t>TOTAL COMPENSATION &amp; BENEFITS  (A5+B3+C4)</t>
  </si>
  <si>
    <t>2018 Budget Total Comp + Benefits = $86,230</t>
  </si>
  <si>
    <t>Other Reimbursements</t>
  </si>
  <si>
    <t>D1</t>
  </si>
  <si>
    <t>Automobile/Mileage     www.irs.gov</t>
  </si>
  <si>
    <t>D2</t>
  </si>
  <si>
    <t>Business/Professional</t>
  </si>
  <si>
    <t>D3</t>
  </si>
  <si>
    <t>Continuing Edudation</t>
  </si>
  <si>
    <t>D4</t>
  </si>
  <si>
    <t>Books/Subscriptions</t>
  </si>
  <si>
    <t>D5</t>
  </si>
  <si>
    <t>Other _______</t>
  </si>
  <si>
    <t>Weeks of Vacation / Sundays of Vacation</t>
  </si>
  <si>
    <t>This sheet shows</t>
  </si>
  <si>
    <t>increase in Year 0 with a standardized declining difference using the Ratable % calculated from 4.09% to 2.3% and Ratable Increase calculated from 1.8% to .34%</t>
  </si>
  <si>
    <t>Years of Experience</t>
  </si>
  <si>
    <t>Low</t>
  </si>
  <si>
    <t>% Increase</t>
  </si>
  <si>
    <t>High with Ratable % Difference</t>
  </si>
  <si>
    <t>% Difference</t>
  </si>
  <si>
    <t>Housing 50% Low</t>
  </si>
  <si>
    <t>Social Security 7.65% Low</t>
  </si>
  <si>
    <t>Total Defined Compensation Low</t>
  </si>
  <si>
    <t>Housing 50% High</t>
  </si>
  <si>
    <t>Social Security 7.65% High</t>
  </si>
  <si>
    <t>Total Defined Compensation High</t>
  </si>
  <si>
    <t>Year</t>
  </si>
  <si>
    <t>Ratable % Difference</t>
  </si>
  <si>
    <t>Calcuation</t>
  </si>
  <si>
    <t>Ratable % Increase</t>
  </si>
  <si>
    <t>Calculation</t>
  </si>
  <si>
    <t>Graduate</t>
  </si>
  <si>
    <t>Guidelines for 2023 reflect a 4.5% increase over the 2022 base for a new graduate</t>
  </si>
  <si>
    <t>increase in Graduate (Year 0)  2022 to 2023</t>
  </si>
  <si>
    <t>Ratable % Difference Low to High</t>
  </si>
  <si>
    <t>Ratable % Increase with increased years</t>
  </si>
  <si>
    <t>=(.0409-.023)/40</t>
  </si>
  <si>
    <t>=(.02-.034)/40</t>
  </si>
  <si>
    <t>40+</t>
  </si>
  <si>
    <t>1982 &amp; earlier</t>
  </si>
  <si>
    <t>add $500 per year of service</t>
  </si>
  <si>
    <t>$1500/mon</t>
  </si>
  <si>
    <t>Low Guideline</t>
  </si>
  <si>
    <t>High Guideline</t>
  </si>
  <si>
    <r>
      <t xml:space="preserve">Custom 1- </t>
    </r>
    <r>
      <rPr>
        <b/>
        <u/>
        <sz val="20"/>
        <color theme="1"/>
        <rFont val="Times New Roman"/>
        <family val="1"/>
      </rPr>
      <t>LOW</t>
    </r>
  </si>
  <si>
    <t>custom 1 monthly</t>
  </si>
  <si>
    <r>
      <t xml:space="preserve">Custom 2 - </t>
    </r>
    <r>
      <rPr>
        <b/>
        <u/>
        <sz val="20"/>
        <color theme="1"/>
        <rFont val="Times New Roman"/>
        <family val="1"/>
      </rPr>
      <t>HIGH</t>
    </r>
  </si>
  <si>
    <t>custom 2 monthly</t>
  </si>
  <si>
    <t>Housing Allowance</t>
  </si>
  <si>
    <t>increase in Year 0 from 2023</t>
  </si>
  <si>
    <t xml:space="preserve"> 5.0%</t>
  </si>
  <si>
    <t xml:space="preserve">      increase in Year 0 with a standardized declining difference using the Ratable % calculated from 4.09% to 2.3% and Ratable Increase calculated from 1.8% to .34%</t>
  </si>
  <si>
    <t>Disability/Other -0.5% of A5</t>
  </si>
  <si>
    <t>%</t>
  </si>
  <si>
    <t>Disability/Other - 0.5% of A5</t>
  </si>
  <si>
    <t>Housing Allowance (Max = 50% of Base Salary)</t>
  </si>
  <si>
    <t>2025 Compensation Calculator EXAMPLES</t>
  </si>
  <si>
    <t>Pastor ordained in 2020 (born 1993).   Housing is flat $1,500/mon Health insurance coverage is for only the pastor (no spouse)</t>
  </si>
  <si>
    <t>Pastor ordained in 2015 (born 1988).  Health ins =single.  50% housing  Add 2 point parish</t>
  </si>
  <si>
    <t>This example is for pastor ordained in 2008 (born 1980).  The Housing allowance is 50% of base salary.  The minister is married and the health insurance is for an employee+spouse at the GOLD+ level.</t>
  </si>
  <si>
    <t>* this example health insurance is 33.7% of total defined comp with minimum of $1446/mon and maximum of $1957/mon</t>
  </si>
  <si>
    <t>*  insurance is 12.5% with min $534/mon &amp; max $720/mon</t>
  </si>
  <si>
    <t>*  insurance is 14% with min $605/mon &amp; max $818/mon</t>
  </si>
  <si>
    <t>Sabbath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</si>
</sst>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0.0%"/>
    <numFmt numFmtId="167" formatCode="_(\$* #,##0.00_);_(\$* \(#,##0.00\);_(\$* \-??_);_(@_)"/>
    <numFmt numFmtId="168" formatCode="_(\$* #,##0_);_(\$* \(#,##0\);_(\$* \-??_);_(@_)"/>
    <numFmt numFmtId="169" formatCode="0.000%"/>
    <numFmt numFmtId="170" formatCode="0.0000000%"/>
    <numFmt numFmtId="171" formatCode="0.000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8"/>
      <color theme="1"/>
      <name val="Times New Roman"/>
      <family val="1"/>
    </font>
    <font>
      <b/>
      <u/>
      <sz val="16"/>
      <color theme="1"/>
      <name val="Times New Roman"/>
      <family val="1"/>
    </font>
    <font>
      <sz val="12"/>
      <color indexed="8"/>
      <name val="Calibri"/>
      <family val="2"/>
      <charset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sz val="16"/>
      <color theme="1"/>
      <name val="Times New Roman"/>
      <family val="1"/>
    </font>
    <font>
      <b/>
      <i/>
      <sz val="18"/>
      <color theme="1"/>
      <name val="Times New Roman"/>
      <family val="1"/>
    </font>
    <font>
      <u/>
      <sz val="12"/>
      <color theme="1"/>
      <name val="Times New Roman"/>
      <family val="1"/>
    </font>
    <font>
      <u/>
      <sz val="11"/>
      <color indexed="8"/>
      <name val="Times New Roman"/>
      <family val="1"/>
    </font>
    <font>
      <sz val="20"/>
      <color theme="1"/>
      <name val="Times New Roman"/>
      <family val="1"/>
    </font>
    <font>
      <b/>
      <u/>
      <sz val="20"/>
      <color theme="1"/>
      <name val="Times New Roman"/>
      <family val="1"/>
    </font>
    <font>
      <u/>
      <sz val="12"/>
      <color indexed="8"/>
      <name val="Calibri"/>
      <family val="2"/>
      <charset val="1"/>
    </font>
    <font>
      <i/>
      <sz val="14"/>
      <color theme="1"/>
      <name val="Times New Roman"/>
      <family val="1"/>
    </font>
    <font>
      <sz val="18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gray0625">
        <bgColor theme="8" tint="0.79998168889431442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43"/>
        <bgColor indexed="64"/>
      </patternFill>
    </fill>
    <fill>
      <patternFill patternType="solid">
        <fgColor rgb="FFCCCCFF"/>
        <bgColor indexed="22"/>
      </patternFill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9" fontId="14" fillId="0" borderId="0"/>
    <xf numFmtId="167" fontId="14" fillId="0" borderId="0"/>
  </cellStyleXfs>
  <cellXfs count="315">
    <xf numFmtId="0" fontId="0" fillId="0" borderId="0" xfId="0"/>
    <xf numFmtId="0" fontId="15" fillId="0" borderId="0" xfId="3" applyFont="1"/>
    <xf numFmtId="0" fontId="16" fillId="0" borderId="0" xfId="3" applyFont="1" applyAlignment="1">
      <alignment vertical="center" wrapText="1"/>
    </xf>
    <xf numFmtId="168" fontId="17" fillId="4" borderId="0" xfId="5" applyNumberFormat="1" applyFont="1" applyFill="1"/>
    <xf numFmtId="168" fontId="16" fillId="0" borderId="0" xfId="5" applyNumberFormat="1" applyFont="1"/>
    <xf numFmtId="168" fontId="16" fillId="4" borderId="0" xfId="5" applyNumberFormat="1" applyFont="1" applyFill="1"/>
    <xf numFmtId="10" fontId="15" fillId="0" borderId="0" xfId="4" applyNumberFormat="1" applyFont="1"/>
    <xf numFmtId="10" fontId="15" fillId="0" borderId="0" xfId="3" applyNumberFormat="1" applyFont="1"/>
    <xf numFmtId="169" fontId="15" fillId="0" borderId="0" xfId="4" applyNumberFormat="1" applyFont="1"/>
    <xf numFmtId="170" fontId="15" fillId="0" borderId="0" xfId="4" applyNumberFormat="1" applyFont="1"/>
    <xf numFmtId="10" fontId="16" fillId="0" borderId="0" xfId="4" applyNumberFormat="1" applyFont="1"/>
    <xf numFmtId="170" fontId="18" fillId="0" borderId="0" xfId="3" quotePrefix="1" applyNumberFormat="1" applyFont="1" applyAlignment="1">
      <alignment horizontal="right"/>
    </xf>
    <xf numFmtId="171" fontId="15" fillId="0" borderId="0" xfId="4" applyNumberFormat="1" applyFont="1"/>
    <xf numFmtId="0" fontId="18" fillId="0" borderId="0" xfId="3" quotePrefix="1" applyFont="1" applyAlignment="1">
      <alignment horizontal="right" indent="1"/>
    </xf>
    <xf numFmtId="0" fontId="15" fillId="5" borderId="0" xfId="3" applyFont="1" applyFill="1"/>
    <xf numFmtId="0" fontId="16" fillId="0" borderId="0" xfId="3" applyFont="1"/>
    <xf numFmtId="0" fontId="15" fillId="0" borderId="0" xfId="3" applyFont="1" applyAlignment="1">
      <alignment horizontal="center" vertical="center" wrapText="1"/>
    </xf>
    <xf numFmtId="0" fontId="19" fillId="0" borderId="0" xfId="3" applyFont="1"/>
    <xf numFmtId="0" fontId="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5" fillId="9" borderId="0" xfId="3" applyFont="1" applyFill="1"/>
    <xf numFmtId="168" fontId="16" fillId="9" borderId="0" xfId="5" applyNumberFormat="1" applyFont="1" applyFill="1"/>
    <xf numFmtId="10" fontId="16" fillId="9" borderId="0" xfId="4" applyNumberFormat="1" applyFont="1" applyFill="1"/>
    <xf numFmtId="10" fontId="15" fillId="9" borderId="0" xfId="4" applyNumberFormat="1" applyFont="1" applyFill="1"/>
    <xf numFmtId="0" fontId="15" fillId="10" borderId="0" xfId="3" applyFont="1" applyFill="1"/>
    <xf numFmtId="10" fontId="15" fillId="10" borderId="0" xfId="3" applyNumberFormat="1" applyFont="1" applyFill="1"/>
    <xf numFmtId="10" fontId="15" fillId="9" borderId="0" xfId="3" applyNumberFormat="1" applyFont="1" applyFill="1"/>
    <xf numFmtId="0" fontId="16" fillId="0" borderId="0" xfId="3" applyFont="1" applyAlignment="1">
      <alignment horizontal="center" vertical="center" wrapText="1"/>
    </xf>
    <xf numFmtId="0" fontId="15" fillId="0" borderId="0" xfId="3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quotePrefix="1" applyFont="1" applyAlignment="1">
      <alignment vertical="top"/>
    </xf>
    <xf numFmtId="166" fontId="23" fillId="4" borderId="0" xfId="4" applyNumberFormat="1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164" fontId="5" fillId="0" borderId="0" xfId="1" applyNumberFormat="1" applyFont="1" applyFill="1" applyAlignment="1" applyProtection="1">
      <alignment wrapText="1"/>
    </xf>
    <xf numFmtId="164" fontId="5" fillId="0" borderId="0" xfId="1" applyNumberFormat="1" applyFont="1" applyFill="1" applyBorder="1" applyAlignment="1" applyProtection="1">
      <alignment wrapText="1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0" fontId="3" fillId="11" borderId="0" xfId="0" applyFont="1" applyFill="1" applyAlignment="1">
      <alignment wrapText="1"/>
    </xf>
    <xf numFmtId="164" fontId="3" fillId="0" borderId="0" xfId="0" applyNumberFormat="1" applyFont="1" applyAlignment="1">
      <alignment wrapText="1"/>
    </xf>
    <xf numFmtId="0" fontId="20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164" fontId="3" fillId="0" borderId="0" xfId="1" applyNumberFormat="1" applyFont="1" applyAlignment="1" applyProtection="1">
      <alignment wrapText="1"/>
    </xf>
    <xf numFmtId="164" fontId="3" fillId="0" borderId="0" xfId="1" applyNumberFormat="1" applyFont="1" applyBorder="1" applyAlignment="1" applyProtection="1">
      <alignment wrapText="1"/>
    </xf>
    <xf numFmtId="0" fontId="2" fillId="0" borderId="0" xfId="0" applyFont="1" applyAlignment="1">
      <alignment wrapText="1"/>
    </xf>
    <xf numFmtId="164" fontId="8" fillId="0" borderId="0" xfId="1" applyNumberFormat="1" applyFont="1" applyAlignment="1" applyProtection="1">
      <alignment wrapText="1"/>
    </xf>
    <xf numFmtId="164" fontId="8" fillId="0" borderId="0" xfId="1" applyNumberFormat="1" applyFont="1" applyBorder="1" applyAlignment="1" applyProtection="1">
      <alignment wrapText="1"/>
    </xf>
    <xf numFmtId="164" fontId="8" fillId="0" borderId="0" xfId="0" applyNumberFormat="1" applyFont="1" applyAlignment="1">
      <alignment wrapText="1"/>
    </xf>
    <xf numFmtId="0" fontId="2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4" fontId="7" fillId="0" borderId="1" xfId="1" applyNumberFormat="1" applyFont="1" applyBorder="1" applyAlignment="1" applyProtection="1">
      <alignment horizontal="center" wrapText="1"/>
    </xf>
    <xf numFmtId="164" fontId="7" fillId="0" borderId="0" xfId="1" applyNumberFormat="1" applyFont="1" applyBorder="1" applyAlignment="1" applyProtection="1">
      <alignment horizontal="center" wrapText="1"/>
    </xf>
    <xf numFmtId="0" fontId="3" fillId="2" borderId="0" xfId="0" applyFont="1" applyFill="1" applyAlignment="1">
      <alignment wrapText="1"/>
    </xf>
    <xf numFmtId="0" fontId="7" fillId="0" borderId="1" xfId="0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13" fillId="0" borderId="0" xfId="0" applyFont="1" applyAlignment="1">
      <alignment wrapText="1"/>
    </xf>
    <xf numFmtId="164" fontId="5" fillId="0" borderId="0" xfId="1" applyNumberFormat="1" applyFont="1" applyAlignment="1" applyProtection="1">
      <alignment wrapText="1"/>
    </xf>
    <xf numFmtId="164" fontId="5" fillId="0" borderId="0" xfId="1" applyNumberFormat="1" applyFont="1" applyBorder="1" applyAlignment="1" applyProtection="1">
      <alignment wrapText="1"/>
    </xf>
    <xf numFmtId="164" fontId="4" fillId="0" borderId="0" xfId="0" applyNumberFormat="1" applyFont="1" applyAlignment="1">
      <alignment horizontal="right" wrapText="1"/>
    </xf>
    <xf numFmtId="165" fontId="9" fillId="0" borderId="0" xfId="0" applyNumberFormat="1" applyFont="1" applyAlignment="1">
      <alignment horizontal="right" wrapText="1"/>
    </xf>
    <xf numFmtId="165" fontId="5" fillId="0" borderId="0" xfId="1" applyNumberFormat="1" applyFont="1" applyAlignment="1" applyProtection="1">
      <alignment wrapText="1"/>
    </xf>
    <xf numFmtId="165" fontId="5" fillId="0" borderId="0" xfId="1" applyNumberFormat="1" applyFont="1" applyBorder="1" applyAlignment="1" applyProtection="1">
      <alignment wrapText="1"/>
    </xf>
    <xf numFmtId="165" fontId="3" fillId="2" borderId="0" xfId="0" applyNumberFormat="1" applyFont="1" applyFill="1" applyAlignment="1">
      <alignment wrapText="1"/>
    </xf>
    <xf numFmtId="165" fontId="3" fillId="0" borderId="0" xfId="0" applyNumberFormat="1" applyFont="1" applyAlignment="1">
      <alignment wrapText="1"/>
    </xf>
    <xf numFmtId="165" fontId="5" fillId="0" borderId="0" xfId="0" applyNumberFormat="1" applyFont="1" applyAlignment="1">
      <alignment wrapText="1"/>
    </xf>
    <xf numFmtId="165" fontId="3" fillId="11" borderId="0" xfId="0" applyNumberFormat="1" applyFont="1" applyFill="1" applyAlignment="1">
      <alignment wrapText="1"/>
    </xf>
    <xf numFmtId="164" fontId="4" fillId="0" borderId="0" xfId="0" applyNumberFormat="1" applyFont="1" applyAlignment="1">
      <alignment wrapText="1"/>
    </xf>
    <xf numFmtId="165" fontId="10" fillId="0" borderId="0" xfId="0" applyNumberFormat="1" applyFont="1" applyAlignment="1">
      <alignment horizontal="right" wrapText="1"/>
    </xf>
    <xf numFmtId="165" fontId="10" fillId="3" borderId="2" xfId="0" applyNumberFormat="1" applyFont="1" applyFill="1" applyBorder="1" applyAlignment="1">
      <alignment horizontal="right" wrapText="1"/>
    </xf>
    <xf numFmtId="164" fontId="11" fillId="0" borderId="0" xfId="0" applyNumberFormat="1" applyFont="1" applyAlignment="1">
      <alignment wrapText="1"/>
    </xf>
    <xf numFmtId="164" fontId="8" fillId="0" borderId="0" xfId="0" applyNumberFormat="1" applyFont="1" applyAlignment="1">
      <alignment horizontal="right" wrapText="1"/>
    </xf>
    <xf numFmtId="165" fontId="11" fillId="0" borderId="0" xfId="0" applyNumberFormat="1" applyFont="1" applyAlignment="1">
      <alignment horizontal="right" wrapText="1"/>
    </xf>
    <xf numFmtId="165" fontId="3" fillId="0" borderId="0" xfId="0" applyNumberFormat="1" applyFont="1" applyAlignment="1">
      <alignment horizontal="right" wrapText="1"/>
    </xf>
    <xf numFmtId="0" fontId="20" fillId="0" borderId="0" xfId="0" applyFont="1" applyAlignment="1">
      <alignment wrapText="1"/>
    </xf>
    <xf numFmtId="164" fontId="11" fillId="0" borderId="1" xfId="0" applyNumberFormat="1" applyFont="1" applyBorder="1" applyAlignment="1">
      <alignment wrapText="1"/>
    </xf>
    <xf numFmtId="165" fontId="10" fillId="0" borderId="1" xfId="0" applyNumberFormat="1" applyFont="1" applyBorder="1" applyAlignment="1">
      <alignment horizontal="right" wrapText="1"/>
    </xf>
    <xf numFmtId="165" fontId="5" fillId="0" borderId="1" xfId="1" applyNumberFormat="1" applyFont="1" applyBorder="1" applyAlignment="1" applyProtection="1">
      <alignment wrapText="1"/>
    </xf>
    <xf numFmtId="165" fontId="3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165" fontId="3" fillId="11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4" fontId="4" fillId="0" borderId="3" xfId="0" applyNumberFormat="1" applyFont="1" applyBorder="1" applyAlignment="1">
      <alignment wrapText="1"/>
    </xf>
    <xf numFmtId="165" fontId="4" fillId="0" borderId="3" xfId="0" applyNumberFormat="1" applyFont="1" applyBorder="1" applyAlignment="1">
      <alignment wrapText="1"/>
    </xf>
    <xf numFmtId="165" fontId="5" fillId="0" borderId="3" xfId="1" applyNumberFormat="1" applyFont="1" applyBorder="1" applyAlignment="1" applyProtection="1">
      <alignment wrapText="1"/>
    </xf>
    <xf numFmtId="165" fontId="3" fillId="0" borderId="3" xfId="0" applyNumberFormat="1" applyFont="1" applyBorder="1" applyAlignment="1">
      <alignment wrapText="1"/>
    </xf>
    <xf numFmtId="165" fontId="5" fillId="0" borderId="3" xfId="0" applyNumberFormat="1" applyFont="1" applyBorder="1" applyAlignment="1">
      <alignment wrapText="1"/>
    </xf>
    <xf numFmtId="165" fontId="3" fillId="11" borderId="3" xfId="0" applyNumberFormat="1" applyFont="1" applyFill="1" applyBorder="1" applyAlignment="1">
      <alignment wrapText="1"/>
    </xf>
    <xf numFmtId="165" fontId="2" fillId="0" borderId="3" xfId="0" applyNumberFormat="1" applyFont="1" applyBorder="1" applyAlignment="1">
      <alignment wrapText="1"/>
    </xf>
    <xf numFmtId="165" fontId="20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165" fontId="12" fillId="0" borderId="0" xfId="0" applyNumberFormat="1" applyFont="1" applyAlignment="1">
      <alignment horizontal="right" wrapText="1"/>
    </xf>
    <xf numFmtId="164" fontId="8" fillId="0" borderId="1" xfId="0" applyNumberFormat="1" applyFont="1" applyBorder="1" applyAlignment="1">
      <alignment wrapText="1"/>
    </xf>
    <xf numFmtId="165" fontId="12" fillId="0" borderId="1" xfId="0" applyNumberFormat="1" applyFont="1" applyBorder="1" applyAlignment="1">
      <alignment horizontal="right" wrapText="1"/>
    </xf>
    <xf numFmtId="164" fontId="13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 wrapText="1"/>
    </xf>
    <xf numFmtId="165" fontId="10" fillId="0" borderId="0" xfId="0" applyNumberFormat="1" applyFont="1" applyAlignment="1">
      <alignment wrapText="1"/>
    </xf>
    <xf numFmtId="164" fontId="10" fillId="0" borderId="0" xfId="0" applyNumberFormat="1" applyFont="1" applyAlignment="1">
      <alignment wrapText="1"/>
    </xf>
    <xf numFmtId="165" fontId="10" fillId="8" borderId="2" xfId="0" applyNumberFormat="1" applyFont="1" applyFill="1" applyBorder="1" applyAlignment="1">
      <alignment wrapText="1"/>
    </xf>
    <xf numFmtId="164" fontId="4" fillId="0" borderId="0" xfId="0" applyNumberFormat="1" applyFont="1" applyAlignment="1">
      <alignment horizontal="center" wrapText="1"/>
    </xf>
    <xf numFmtId="165" fontId="11" fillId="0" borderId="0" xfId="0" applyNumberFormat="1" applyFont="1" applyAlignment="1">
      <alignment wrapText="1"/>
    </xf>
    <xf numFmtId="165" fontId="10" fillId="0" borderId="1" xfId="0" applyNumberFormat="1" applyFont="1" applyBorder="1" applyAlignment="1">
      <alignment wrapText="1"/>
    </xf>
    <xf numFmtId="164" fontId="2" fillId="0" borderId="4" xfId="0" applyNumberFormat="1" applyFont="1" applyBorder="1" applyAlignment="1">
      <alignment wrapText="1"/>
    </xf>
    <xf numFmtId="165" fontId="12" fillId="0" borderId="4" xfId="0" applyNumberFormat="1" applyFont="1" applyBorder="1" applyAlignment="1">
      <alignment wrapText="1"/>
    </xf>
    <xf numFmtId="165" fontId="5" fillId="0" borderId="4" xfId="1" applyNumberFormat="1" applyFont="1" applyBorder="1" applyAlignment="1" applyProtection="1">
      <alignment wrapText="1"/>
    </xf>
    <xf numFmtId="165" fontId="5" fillId="0" borderId="4" xfId="0" applyNumberFormat="1" applyFont="1" applyBorder="1" applyAlignment="1">
      <alignment wrapText="1"/>
    </xf>
    <xf numFmtId="165" fontId="3" fillId="0" borderId="4" xfId="0" applyNumberFormat="1" applyFont="1" applyBorder="1" applyAlignment="1">
      <alignment wrapText="1"/>
    </xf>
    <xf numFmtId="164" fontId="7" fillId="0" borderId="0" xfId="0" applyNumberFormat="1" applyFont="1" applyAlignment="1">
      <alignment horizontal="right" wrapText="1"/>
    </xf>
    <xf numFmtId="164" fontId="7" fillId="0" borderId="0" xfId="0" applyNumberFormat="1" applyFont="1" applyAlignment="1">
      <alignment wrapText="1"/>
    </xf>
    <xf numFmtId="165" fontId="5" fillId="0" borderId="0" xfId="2" applyNumberFormat="1" applyFont="1" applyAlignment="1" applyProtection="1">
      <alignment wrapText="1"/>
    </xf>
    <xf numFmtId="165" fontId="5" fillId="0" borderId="0" xfId="2" applyNumberFormat="1" applyFont="1" applyFill="1" applyAlignment="1" applyProtection="1">
      <alignment wrapText="1"/>
    </xf>
    <xf numFmtId="164" fontId="3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0" fontId="2" fillId="0" borderId="0" xfId="0" applyFont="1" applyAlignment="1">
      <alignment horizontal="center" wrapText="1"/>
    </xf>
    <xf numFmtId="165" fontId="7" fillId="0" borderId="0" xfId="1" applyNumberFormat="1" applyFont="1" applyAlignment="1" applyProtection="1">
      <alignment horizontal="center" wrapText="1"/>
    </xf>
    <xf numFmtId="165" fontId="7" fillId="0" borderId="0" xfId="1" applyNumberFormat="1" applyFont="1" applyBorder="1" applyAlignment="1" applyProtection="1">
      <alignment horizontal="center" wrapText="1"/>
    </xf>
    <xf numFmtId="165" fontId="2" fillId="2" borderId="0" xfId="0" applyNumberFormat="1" applyFont="1" applyFill="1" applyAlignment="1">
      <alignment horizontal="center" wrapText="1"/>
    </xf>
    <xf numFmtId="165" fontId="7" fillId="0" borderId="0" xfId="0" applyNumberFormat="1" applyFont="1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21" fillId="6" borderId="2" xfId="0" applyFont="1" applyFill="1" applyBorder="1" applyAlignment="1" applyProtection="1">
      <alignment horizontal="right" wrapText="1"/>
      <protection locked="0"/>
    </xf>
    <xf numFmtId="0" fontId="21" fillId="7" borderId="2" xfId="0" applyFont="1" applyFill="1" applyBorder="1" applyAlignment="1" applyProtection="1">
      <alignment horizontal="right" wrapText="1"/>
      <protection locked="0"/>
    </xf>
    <xf numFmtId="165" fontId="9" fillId="3" borderId="2" xfId="0" applyNumberFormat="1" applyFont="1" applyFill="1" applyBorder="1" applyAlignment="1" applyProtection="1">
      <alignment horizontal="right" wrapText="1"/>
      <protection locked="0"/>
    </xf>
    <xf numFmtId="165" fontId="10" fillId="3" borderId="2" xfId="0" applyNumberFormat="1" applyFont="1" applyFill="1" applyBorder="1" applyAlignment="1" applyProtection="1">
      <alignment horizontal="right" wrapText="1"/>
      <protection locked="0"/>
    </xf>
    <xf numFmtId="165" fontId="10" fillId="8" borderId="2" xfId="0" applyNumberFormat="1" applyFont="1" applyFill="1" applyBorder="1" applyAlignment="1" applyProtection="1">
      <alignment wrapText="1"/>
      <protection locked="0"/>
    </xf>
    <xf numFmtId="165" fontId="9" fillId="6" borderId="2" xfId="0" applyNumberFormat="1" applyFont="1" applyFill="1" applyBorder="1" applyAlignment="1" applyProtection="1">
      <alignment horizontal="right" wrapText="1"/>
      <protection locked="0"/>
    </xf>
    <xf numFmtId="165" fontId="10" fillId="7" borderId="2" xfId="0" applyNumberFormat="1" applyFont="1" applyFill="1" applyBorder="1" applyAlignment="1" applyProtection="1">
      <alignment horizontal="right" wrapText="1"/>
      <protection locked="0"/>
    </xf>
    <xf numFmtId="165" fontId="12" fillId="0" borderId="0" xfId="0" applyNumberFormat="1" applyFont="1" applyAlignment="1" applyProtection="1">
      <alignment horizontal="right" wrapText="1"/>
      <protection locked="0"/>
    </xf>
    <xf numFmtId="0" fontId="21" fillId="12" borderId="2" xfId="0" applyFont="1" applyFill="1" applyBorder="1" applyAlignment="1" applyProtection="1">
      <alignment horizontal="right" wrapText="1"/>
      <protection locked="0"/>
    </xf>
    <xf numFmtId="0" fontId="21" fillId="13" borderId="2" xfId="0" applyFont="1" applyFill="1" applyBorder="1" applyAlignment="1" applyProtection="1">
      <alignment horizontal="right" wrapText="1"/>
      <protection locked="0"/>
    </xf>
    <xf numFmtId="0" fontId="21" fillId="0" borderId="2" xfId="0" applyFont="1" applyBorder="1" applyAlignment="1" applyProtection="1">
      <alignment horizontal="right" wrapText="1"/>
      <protection locked="0"/>
    </xf>
    <xf numFmtId="165" fontId="9" fillId="12" borderId="2" xfId="0" applyNumberFormat="1" applyFont="1" applyFill="1" applyBorder="1" applyAlignment="1" applyProtection="1">
      <alignment horizontal="right" wrapText="1"/>
      <protection locked="0"/>
    </xf>
    <xf numFmtId="165" fontId="10" fillId="0" borderId="2" xfId="0" applyNumberFormat="1" applyFont="1" applyBorder="1" applyAlignment="1" applyProtection="1">
      <alignment horizontal="right" wrapText="1"/>
      <protection locked="0"/>
    </xf>
    <xf numFmtId="165" fontId="9" fillId="13" borderId="2" xfId="0" applyNumberFormat="1" applyFont="1" applyFill="1" applyBorder="1" applyAlignment="1" applyProtection="1">
      <alignment horizontal="right" wrapText="1"/>
      <protection locked="0"/>
    </xf>
    <xf numFmtId="164" fontId="3" fillId="0" borderId="0" xfId="1" applyNumberFormat="1" applyFont="1" applyAlignment="1" applyProtection="1">
      <alignment vertical="center" wrapText="1"/>
    </xf>
    <xf numFmtId="0" fontId="3" fillId="14" borderId="0" xfId="0" applyFont="1" applyFill="1" applyAlignment="1">
      <alignment vertical="center" wrapText="1"/>
    </xf>
    <xf numFmtId="0" fontId="3" fillId="15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8" fillId="0" borderId="0" xfId="1" applyNumberFormat="1" applyFont="1" applyAlignment="1" applyProtection="1">
      <alignment vertical="center" wrapText="1"/>
    </xf>
    <xf numFmtId="0" fontId="2" fillId="14" borderId="0" xfId="0" applyFont="1" applyFill="1" applyAlignment="1">
      <alignment vertical="center" wrapText="1"/>
    </xf>
    <xf numFmtId="0" fontId="2" fillId="15" borderId="0" xfId="0" applyFont="1" applyFill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 wrapText="1"/>
    </xf>
    <xf numFmtId="164" fontId="7" fillId="0" borderId="0" xfId="1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7" fillId="0" borderId="1" xfId="1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4" fontId="5" fillId="0" borderId="0" xfId="1" applyNumberFormat="1" applyFont="1" applyAlignment="1" applyProtection="1">
      <alignment vertical="center" wrapText="1"/>
    </xf>
    <xf numFmtId="164" fontId="5" fillId="0" borderId="0" xfId="0" applyNumberFormat="1" applyFont="1" applyAlignment="1">
      <alignment vertical="center" wrapText="1"/>
    </xf>
    <xf numFmtId="165" fontId="5" fillId="0" borderId="0" xfId="1" applyNumberFormat="1" applyFont="1" applyAlignment="1" applyProtection="1">
      <alignment vertical="center" wrapText="1"/>
    </xf>
    <xf numFmtId="165" fontId="3" fillId="14" borderId="0" xfId="0" applyNumberFormat="1" applyFont="1" applyFill="1" applyAlignment="1">
      <alignment vertical="center" wrapText="1"/>
    </xf>
    <xf numFmtId="165" fontId="3" fillId="15" borderId="0" xfId="0" applyNumberFormat="1" applyFont="1" applyFill="1" applyAlignment="1">
      <alignment vertical="center" wrapText="1"/>
    </xf>
    <xf numFmtId="165" fontId="9" fillId="0" borderId="0" xfId="0" applyNumberFormat="1" applyFont="1" applyAlignment="1">
      <alignment horizontal="right" vertical="center" wrapText="1"/>
    </xf>
    <xf numFmtId="165" fontId="9" fillId="6" borderId="2" xfId="0" applyNumberFormat="1" applyFont="1" applyFill="1" applyBorder="1" applyAlignment="1">
      <alignment horizontal="right" vertical="center" wrapText="1"/>
    </xf>
    <xf numFmtId="165" fontId="3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5" fontId="10" fillId="0" borderId="0" xfId="0" applyNumberFormat="1" applyFont="1" applyAlignment="1">
      <alignment horizontal="right" vertical="center" wrapText="1"/>
    </xf>
    <xf numFmtId="165" fontId="10" fillId="7" borderId="8" xfId="0" applyNumberFormat="1" applyFont="1" applyFill="1" applyBorder="1" applyAlignment="1">
      <alignment horizontal="right" vertical="center" wrapText="1"/>
    </xf>
    <xf numFmtId="164" fontId="11" fillId="0" borderId="0" xfId="0" applyNumberFormat="1" applyFont="1" applyAlignment="1">
      <alignment vertical="center" wrapText="1"/>
    </xf>
    <xf numFmtId="165" fontId="11" fillId="0" borderId="0" xfId="0" applyNumberFormat="1" applyFont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 wrapText="1"/>
    </xf>
    <xf numFmtId="164" fontId="11" fillId="0" borderId="1" xfId="0" applyNumberFormat="1" applyFont="1" applyBorder="1" applyAlignment="1">
      <alignment vertical="center" wrapText="1"/>
    </xf>
    <xf numFmtId="165" fontId="5" fillId="0" borderId="0" xfId="1" applyNumberFormat="1" applyFont="1" applyBorder="1" applyAlignment="1" applyProtection="1">
      <alignment vertical="center" wrapText="1"/>
    </xf>
    <xf numFmtId="165" fontId="10" fillId="0" borderId="1" xfId="0" applyNumberFormat="1" applyFont="1" applyBorder="1" applyAlignment="1">
      <alignment horizontal="right" vertical="center" wrapText="1"/>
    </xf>
    <xf numFmtId="165" fontId="5" fillId="0" borderId="1" xfId="1" applyNumberFormat="1" applyFont="1" applyBorder="1" applyAlignment="1" applyProtection="1">
      <alignment vertical="center" wrapText="1"/>
    </xf>
    <xf numFmtId="165" fontId="5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5" fontId="4" fillId="0" borderId="3" xfId="0" applyNumberFormat="1" applyFont="1" applyBorder="1" applyAlignment="1">
      <alignment vertical="center" wrapText="1"/>
    </xf>
    <xf numFmtId="165" fontId="5" fillId="0" borderId="3" xfId="1" applyNumberFormat="1" applyFont="1" applyBorder="1" applyAlignment="1" applyProtection="1">
      <alignment vertical="center" wrapText="1"/>
    </xf>
    <xf numFmtId="165" fontId="5" fillId="0" borderId="3" xfId="0" applyNumberFormat="1" applyFont="1" applyBorder="1" applyAlignment="1">
      <alignment vertical="center" wrapText="1"/>
    </xf>
    <xf numFmtId="165" fontId="2" fillId="0" borderId="3" xfId="0" applyNumberFormat="1" applyFont="1" applyBorder="1" applyAlignment="1">
      <alignment vertical="center" wrapText="1"/>
    </xf>
    <xf numFmtId="165" fontId="20" fillId="0" borderId="0" xfId="0" applyNumberFormat="1" applyFont="1" applyAlignment="1">
      <alignment vertical="center" wrapText="1"/>
    </xf>
    <xf numFmtId="165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5" fontId="12" fillId="0" borderId="0" xfId="0" applyNumberFormat="1" applyFont="1" applyAlignment="1">
      <alignment horizontal="right" vertical="center" wrapText="1"/>
    </xf>
    <xf numFmtId="164" fontId="8" fillId="0" borderId="1" xfId="0" applyNumberFormat="1" applyFont="1" applyBorder="1" applyAlignment="1">
      <alignment vertical="center" wrapText="1"/>
    </xf>
    <xf numFmtId="165" fontId="12" fillId="0" borderId="1" xfId="0" applyNumberFormat="1" applyFont="1" applyBorder="1" applyAlignment="1">
      <alignment horizontal="right" vertical="center" wrapText="1"/>
    </xf>
    <xf numFmtId="164" fontId="13" fillId="0" borderId="0" xfId="0" applyNumberFormat="1" applyFont="1" applyAlignment="1">
      <alignment vertical="center" wrapText="1"/>
    </xf>
    <xf numFmtId="165" fontId="2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vertical="center" wrapText="1"/>
    </xf>
    <xf numFmtId="164" fontId="10" fillId="0" borderId="0" xfId="0" applyNumberFormat="1" applyFont="1" applyAlignment="1">
      <alignment vertical="center" wrapText="1"/>
    </xf>
    <xf numFmtId="165" fontId="11" fillId="0" borderId="0" xfId="0" applyNumberFormat="1" applyFont="1" applyAlignment="1">
      <alignment vertical="center" wrapText="1"/>
    </xf>
    <xf numFmtId="165" fontId="10" fillId="0" borderId="1" xfId="1" applyNumberFormat="1" applyFont="1" applyBorder="1" applyAlignment="1" applyProtection="1">
      <alignment vertical="center" wrapText="1"/>
    </xf>
    <xf numFmtId="165" fontId="10" fillId="0" borderId="1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165" fontId="12" fillId="0" borderId="4" xfId="0" applyNumberFormat="1" applyFont="1" applyBorder="1" applyAlignment="1">
      <alignment vertical="center" wrapText="1"/>
    </xf>
    <xf numFmtId="165" fontId="5" fillId="0" borderId="4" xfId="1" applyNumberFormat="1" applyFont="1" applyBorder="1" applyAlignment="1" applyProtection="1">
      <alignment vertical="center" wrapText="1"/>
    </xf>
    <xf numFmtId="165" fontId="5" fillId="0" borderId="4" xfId="0" applyNumberFormat="1" applyFont="1" applyBorder="1" applyAlignment="1">
      <alignment vertical="center" wrapText="1"/>
    </xf>
    <xf numFmtId="165" fontId="12" fillId="0" borderId="0" xfId="0" applyNumberFormat="1" applyFont="1" applyAlignment="1">
      <alignment vertical="center" wrapText="1"/>
    </xf>
    <xf numFmtId="165" fontId="3" fillId="0" borderId="4" xfId="0" applyNumberFormat="1" applyFont="1" applyBorder="1" applyAlignment="1">
      <alignment vertical="center" wrapText="1"/>
    </xf>
    <xf numFmtId="164" fontId="7" fillId="0" borderId="0" xfId="0" applyNumberFormat="1" applyFont="1" applyAlignment="1">
      <alignment horizontal="right" vertical="center" wrapText="1"/>
    </xf>
    <xf numFmtId="165" fontId="5" fillId="0" borderId="0" xfId="2" applyNumberFormat="1" applyFont="1" applyAlignment="1" applyProtection="1">
      <alignment vertical="center" wrapText="1"/>
    </xf>
    <xf numFmtId="165" fontId="5" fillId="0" borderId="0" xfId="2" applyNumberFormat="1" applyFont="1" applyFill="1" applyAlignment="1" applyProtection="1">
      <alignment vertical="center" wrapText="1"/>
    </xf>
    <xf numFmtId="164" fontId="3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165" fontId="7" fillId="0" borderId="0" xfId="1" applyNumberFormat="1" applyFont="1" applyAlignment="1" applyProtection="1">
      <alignment horizontal="center" vertical="center" wrapText="1"/>
    </xf>
    <xf numFmtId="165" fontId="2" fillId="14" borderId="0" xfId="0" applyNumberFormat="1" applyFont="1" applyFill="1" applyAlignment="1">
      <alignment horizontal="center" vertical="center" wrapText="1"/>
    </xf>
    <xf numFmtId="165" fontId="2" fillId="15" borderId="0" xfId="0" applyNumberFormat="1" applyFont="1" applyFill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65" fontId="10" fillId="0" borderId="0" xfId="1" applyNumberFormat="1" applyFont="1" applyFill="1" applyAlignment="1" applyProtection="1">
      <alignment vertical="center" wrapText="1"/>
    </xf>
    <xf numFmtId="0" fontId="21" fillId="6" borderId="2" xfId="0" applyFont="1" applyFill="1" applyBorder="1" applyAlignment="1" applyProtection="1">
      <alignment horizontal="right" vertical="center" wrapText="1"/>
      <protection locked="0"/>
    </xf>
    <xf numFmtId="0" fontId="21" fillId="7" borderId="2" xfId="0" applyFont="1" applyFill="1" applyBorder="1" applyAlignment="1" applyProtection="1">
      <alignment horizontal="right" vertical="center" wrapText="1"/>
      <protection locked="0"/>
    </xf>
    <xf numFmtId="165" fontId="9" fillId="3" borderId="2" xfId="0" applyNumberFormat="1" applyFont="1" applyFill="1" applyBorder="1" applyAlignment="1" applyProtection="1">
      <alignment horizontal="right" vertical="center" wrapText="1"/>
      <protection locked="0"/>
    </xf>
    <xf numFmtId="165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165" fontId="10" fillId="8" borderId="2" xfId="0" applyNumberFormat="1" applyFont="1" applyFill="1" applyBorder="1" applyAlignment="1" applyProtection="1">
      <alignment vertical="center" wrapText="1"/>
      <protection locked="0"/>
    </xf>
    <xf numFmtId="165" fontId="10" fillId="3" borderId="2" xfId="0" applyNumberFormat="1" applyFont="1" applyFill="1" applyBorder="1" applyAlignment="1" applyProtection="1">
      <alignment vertical="center" wrapText="1"/>
      <protection locked="0"/>
    </xf>
    <xf numFmtId="165" fontId="10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8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165" fontId="3" fillId="0" borderId="0" xfId="0" applyNumberFormat="1" applyFont="1" applyAlignment="1" applyProtection="1">
      <alignment wrapText="1"/>
      <protection locked="0"/>
    </xf>
    <xf numFmtId="165" fontId="5" fillId="0" borderId="0" xfId="1" applyNumberFormat="1" applyFont="1" applyAlignment="1" applyProtection="1">
      <alignment wrapText="1"/>
      <protection locked="0"/>
    </xf>
    <xf numFmtId="165" fontId="5" fillId="0" borderId="0" xfId="1" applyNumberFormat="1" applyFont="1" applyBorder="1" applyAlignment="1" applyProtection="1">
      <alignment wrapText="1"/>
      <protection locked="0"/>
    </xf>
    <xf numFmtId="165" fontId="3" fillId="2" borderId="0" xfId="0" applyNumberFormat="1" applyFont="1" applyFill="1" applyAlignment="1" applyProtection="1">
      <alignment wrapText="1"/>
      <protection locked="0"/>
    </xf>
    <xf numFmtId="165" fontId="5" fillId="0" borderId="0" xfId="0" applyNumberFormat="1" applyFont="1" applyAlignment="1" applyProtection="1">
      <alignment wrapText="1"/>
      <protection locked="0"/>
    </xf>
    <xf numFmtId="165" fontId="3" fillId="11" borderId="0" xfId="0" applyNumberFormat="1" applyFont="1" applyFill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164" fontId="4" fillId="0" borderId="0" xfId="1" applyNumberFormat="1" applyFont="1" applyFill="1" applyBorder="1" applyAlignment="1" applyProtection="1">
      <alignment wrapText="1"/>
      <protection locked="0"/>
    </xf>
    <xf numFmtId="165" fontId="10" fillId="0" borderId="0" xfId="1" applyNumberFormat="1" applyFont="1" applyFill="1" applyAlignment="1" applyProtection="1">
      <alignment wrapText="1"/>
      <protection locked="0"/>
    </xf>
    <xf numFmtId="165" fontId="10" fillId="0" borderId="0" xfId="0" applyNumberFormat="1" applyFont="1" applyAlignment="1" applyProtection="1">
      <alignment wrapText="1"/>
      <protection locked="0"/>
    </xf>
    <xf numFmtId="165" fontId="4" fillId="0" borderId="0" xfId="0" applyNumberFormat="1" applyFont="1" applyAlignment="1" applyProtection="1">
      <alignment horizontal="right" wrapText="1"/>
      <protection locked="0"/>
    </xf>
    <xf numFmtId="165" fontId="10" fillId="3" borderId="2" xfId="0" applyNumberFormat="1" applyFont="1" applyFill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right" wrapText="1"/>
      <protection locked="0"/>
    </xf>
    <xf numFmtId="165" fontId="10" fillId="0" borderId="0" xfId="0" applyNumberFormat="1" applyFont="1" applyAlignment="1" applyProtection="1">
      <alignment horizontal="right" wrapText="1"/>
      <protection locked="0"/>
    </xf>
    <xf numFmtId="165" fontId="10" fillId="0" borderId="0" xfId="0" applyNumberFormat="1" applyFont="1" applyAlignment="1" applyProtection="1">
      <alignment horizontal="center" wrapText="1"/>
      <protection locked="0"/>
    </xf>
    <xf numFmtId="164" fontId="5" fillId="0" borderId="0" xfId="1" applyNumberFormat="1" applyFont="1" applyAlignment="1" applyProtection="1">
      <alignment wrapText="1"/>
      <protection locked="0"/>
    </xf>
    <xf numFmtId="164" fontId="5" fillId="0" borderId="0" xfId="1" applyNumberFormat="1" applyFont="1" applyBorder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164" fontId="5" fillId="0" borderId="0" xfId="0" applyNumberFormat="1" applyFont="1" applyAlignment="1" applyProtection="1">
      <alignment wrapText="1"/>
      <protection locked="0"/>
    </xf>
    <xf numFmtId="0" fontId="3" fillId="11" borderId="0" xfId="0" applyFont="1" applyFill="1" applyAlignment="1" applyProtection="1">
      <alignment wrapText="1"/>
      <protection locked="0"/>
    </xf>
    <xf numFmtId="164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>
      <alignment vertical="top" wrapText="1"/>
    </xf>
    <xf numFmtId="0" fontId="15" fillId="0" borderId="0" xfId="3" applyFont="1" applyAlignment="1">
      <alignment vertical="center" wrapText="1"/>
    </xf>
    <xf numFmtId="166" fontId="26" fillId="3" borderId="0" xfId="4" applyNumberFormat="1" applyFont="1" applyFill="1" applyAlignment="1">
      <alignment horizontal="center" vertical="center"/>
    </xf>
    <xf numFmtId="0" fontId="15" fillId="0" borderId="0" xfId="3" applyFont="1" applyAlignment="1">
      <alignment horizontal="center" wrapText="1"/>
    </xf>
    <xf numFmtId="0" fontId="15" fillId="0" borderId="0" xfId="3" applyFont="1" applyAlignment="1">
      <alignment wrapText="1"/>
    </xf>
    <xf numFmtId="168" fontId="15" fillId="6" borderId="0" xfId="5" applyNumberFormat="1" applyFont="1" applyFill="1"/>
    <xf numFmtId="168" fontId="15" fillId="0" borderId="0" xfId="5" applyNumberFormat="1" applyFont="1"/>
    <xf numFmtId="168" fontId="15" fillId="16" borderId="0" xfId="5" applyNumberFormat="1" applyFont="1" applyFill="1"/>
    <xf numFmtId="168" fontId="15" fillId="3" borderId="0" xfId="3" applyNumberFormat="1" applyFont="1" applyFill="1"/>
    <xf numFmtId="168" fontId="15" fillId="17" borderId="0" xfId="3" applyNumberFormat="1" applyFont="1" applyFill="1"/>
    <xf numFmtId="168" fontId="15" fillId="16" borderId="0" xfId="3" applyNumberFormat="1" applyFont="1" applyFill="1"/>
    <xf numFmtId="168" fontId="15" fillId="0" borderId="0" xfId="3" applyNumberFormat="1" applyFont="1"/>
    <xf numFmtId="170" fontId="15" fillId="0" borderId="0" xfId="3" applyNumberFormat="1" applyFont="1"/>
    <xf numFmtId="0" fontId="15" fillId="18" borderId="0" xfId="3" applyFont="1" applyFill="1"/>
    <xf numFmtId="168" fontId="15" fillId="18" borderId="0" xfId="5" applyNumberFormat="1" applyFont="1" applyFill="1"/>
    <xf numFmtId="10" fontId="15" fillId="18" borderId="0" xfId="4" applyNumberFormat="1" applyFont="1" applyFill="1"/>
    <xf numFmtId="168" fontId="15" fillId="19" borderId="0" xfId="5" applyNumberFormat="1" applyFont="1" applyFill="1"/>
    <xf numFmtId="168" fontId="15" fillId="18" borderId="0" xfId="3" applyNumberFormat="1" applyFont="1" applyFill="1"/>
    <xf numFmtId="0" fontId="15" fillId="19" borderId="0" xfId="3" applyFont="1" applyFill="1"/>
    <xf numFmtId="10" fontId="15" fillId="19" borderId="0" xfId="3" applyNumberFormat="1" applyFont="1" applyFill="1"/>
    <xf numFmtId="10" fontId="15" fillId="18" borderId="0" xfId="3" applyNumberFormat="1" applyFont="1" applyFill="1"/>
    <xf numFmtId="165" fontId="27" fillId="3" borderId="2" xfId="0" applyNumberFormat="1" applyFont="1" applyFill="1" applyBorder="1" applyAlignment="1" applyProtection="1">
      <alignment horizontal="right" wrapText="1"/>
      <protection locked="0"/>
    </xf>
    <xf numFmtId="0" fontId="15" fillId="0" borderId="0" xfId="3" applyFont="1" applyAlignment="1">
      <alignment horizontal="center"/>
    </xf>
    <xf numFmtId="0" fontId="28" fillId="0" borderId="0" xfId="3" quotePrefix="1" applyFont="1" applyAlignment="1">
      <alignment horizontal="center" vertical="center"/>
    </xf>
    <xf numFmtId="0" fontId="29" fillId="0" borderId="0" xfId="3" applyFont="1" applyAlignment="1">
      <alignment horizontal="center" wrapText="1"/>
    </xf>
    <xf numFmtId="164" fontId="15" fillId="0" borderId="0" xfId="3" applyNumberFormat="1" applyFont="1" applyAlignment="1">
      <alignment horizontal="center" wrapText="1"/>
    </xf>
    <xf numFmtId="0" fontId="16" fillId="0" borderId="0" xfId="3" applyFont="1" applyAlignment="1">
      <alignment horizontal="center"/>
    </xf>
    <xf numFmtId="168" fontId="30" fillId="6" borderId="0" xfId="5" applyNumberFormat="1" applyFont="1" applyFill="1"/>
    <xf numFmtId="164" fontId="15" fillId="16" borderId="0" xfId="5" applyNumberFormat="1" applyFont="1" applyFill="1"/>
    <xf numFmtId="168" fontId="15" fillId="12" borderId="0" xfId="3" applyNumberFormat="1" applyFont="1" applyFill="1"/>
    <xf numFmtId="168" fontId="29" fillId="0" borderId="0" xfId="5" applyNumberFormat="1" applyFont="1"/>
    <xf numFmtId="164" fontId="15" fillId="0" borderId="0" xfId="5" applyNumberFormat="1" applyFont="1"/>
    <xf numFmtId="0" fontId="15" fillId="18" borderId="0" xfId="3" applyFont="1" applyFill="1" applyAlignment="1">
      <alignment horizontal="center"/>
    </xf>
    <xf numFmtId="168" fontId="29" fillId="18" borderId="0" xfId="5" applyNumberFormat="1" applyFont="1" applyFill="1"/>
    <xf numFmtId="164" fontId="15" fillId="19" borderId="0" xfId="5" applyNumberFormat="1" applyFont="1" applyFill="1"/>
    <xf numFmtId="0" fontId="15" fillId="5" borderId="0" xfId="3" applyFont="1" applyFill="1" applyAlignment="1">
      <alignment horizontal="center"/>
    </xf>
    <xf numFmtId="164" fontId="15" fillId="18" borderId="0" xfId="5" applyNumberFormat="1" applyFont="1" applyFill="1"/>
    <xf numFmtId="0" fontId="29" fillId="0" borderId="0" xfId="3" applyFont="1"/>
    <xf numFmtId="164" fontId="15" fillId="0" borderId="0" xfId="3" applyNumberFormat="1" applyFont="1"/>
    <xf numFmtId="164" fontId="8" fillId="0" borderId="0" xfId="1" quotePrefix="1" applyNumberFormat="1" applyFont="1" applyAlignment="1" applyProtection="1">
      <alignment vertical="center" wrapText="1"/>
    </xf>
    <xf numFmtId="165" fontId="3" fillId="0" borderId="0" xfId="0" applyNumberFormat="1" applyFont="1"/>
    <xf numFmtId="0" fontId="3" fillId="14" borderId="0" xfId="0" applyFont="1" applyFill="1" applyAlignment="1">
      <alignment wrapText="1"/>
    </xf>
    <xf numFmtId="165" fontId="10" fillId="3" borderId="2" xfId="0" applyNumberFormat="1" applyFont="1" applyFill="1" applyBorder="1" applyAlignment="1">
      <alignment wrapText="1"/>
    </xf>
    <xf numFmtId="165" fontId="3" fillId="0" borderId="0" xfId="1" applyNumberFormat="1" applyFont="1" applyAlignment="1" applyProtection="1">
      <alignment wrapText="1"/>
    </xf>
    <xf numFmtId="0" fontId="3" fillId="0" borderId="0" xfId="0" quotePrefix="1" applyFont="1" applyAlignment="1">
      <alignment vertical="top"/>
    </xf>
    <xf numFmtId="165" fontId="3" fillId="8" borderId="5" xfId="0" applyNumberFormat="1" applyFont="1" applyFill="1" applyBorder="1" applyAlignment="1">
      <alignment vertical="top" wrapText="1"/>
    </xf>
    <xf numFmtId="165" fontId="3" fillId="8" borderId="0" xfId="0" applyNumberFormat="1" applyFont="1" applyFill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3" borderId="6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3" fillId="7" borderId="0" xfId="0" applyFont="1" applyFill="1" applyAlignment="1">
      <alignment vertical="top" wrapText="1"/>
    </xf>
    <xf numFmtId="0" fontId="3" fillId="7" borderId="1" xfId="0" applyFont="1" applyFill="1" applyBorder="1" applyAlignment="1">
      <alignment vertical="top" wrapText="1"/>
    </xf>
    <xf numFmtId="0" fontId="3" fillId="6" borderId="0" xfId="0" applyFont="1" applyFill="1" applyAlignment="1">
      <alignment vertical="top" wrapText="1"/>
    </xf>
    <xf numFmtId="165" fontId="3" fillId="0" borderId="0" xfId="0" applyNumberFormat="1" applyFont="1" applyAlignment="1">
      <alignment horizontal="center" wrapText="1"/>
    </xf>
    <xf numFmtId="0" fontId="24" fillId="0" borderId="0" xfId="0" applyFont="1" applyAlignment="1">
      <alignment horizontal="left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left" wrapText="1"/>
    </xf>
    <xf numFmtId="0" fontId="15" fillId="0" borderId="0" xfId="3" applyFont="1" applyAlignment="1">
      <alignment horizontal="left" vertical="center" wrapText="1"/>
    </xf>
    <xf numFmtId="0" fontId="15" fillId="0" borderId="0" xfId="3" applyFont="1" applyAlignment="1">
      <alignment horizontal="center" vertical="center" wrapText="1"/>
    </xf>
    <xf numFmtId="0" fontId="19" fillId="0" borderId="0" xfId="3" applyFont="1" applyAlignment="1">
      <alignment horizontal="left"/>
    </xf>
    <xf numFmtId="0" fontId="16" fillId="0" borderId="0" xfId="3" applyFont="1" applyAlignment="1">
      <alignment horizontal="center" vertical="center" wrapText="1"/>
    </xf>
    <xf numFmtId="0" fontId="15" fillId="0" borderId="0" xfId="3" applyFont="1" applyAlignment="1">
      <alignment horizontal="right" vertical="center" wrapText="1"/>
    </xf>
    <xf numFmtId="0" fontId="15" fillId="0" borderId="0" xfId="3" quotePrefix="1" applyFont="1" applyAlignment="1">
      <alignment horizontal="right" vertical="center"/>
    </xf>
  </cellXfs>
  <cellStyles count="6">
    <cellStyle name="Currency" xfId="1" builtinId="4"/>
    <cellStyle name="Currency 2" xfId="5" xr:uid="{734B02FD-D90D-42C7-9612-28FC74972AF0}"/>
    <cellStyle name="Excel Built-in Normal" xfId="3" xr:uid="{8974AB0D-C2C9-46D2-9854-17783FAD5E54}"/>
    <cellStyle name="Normal" xfId="0" builtinId="0"/>
    <cellStyle name="Percent" xfId="2" builtinId="5"/>
    <cellStyle name="Percent 2" xfId="4" xr:uid="{CBEDAD3C-FCFF-4CC7-AFE2-AF9D458D85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27551-8D4D-4366-ACA7-8A9412782196}">
  <dimension ref="A1:D11"/>
  <sheetViews>
    <sheetView tabSelected="1" workbookViewId="0">
      <selection activeCell="D11" sqref="D11"/>
    </sheetView>
  </sheetViews>
  <sheetFormatPr defaultColWidth="8.7265625" defaultRowHeight="22.5" customHeight="1" x14ac:dyDescent="0.35"/>
  <cols>
    <col min="1" max="1" width="8.7265625" style="32"/>
    <col min="2" max="2" width="68.54296875" style="20" customWidth="1"/>
    <col min="3" max="3" width="3.54296875" style="20" customWidth="1"/>
    <col min="4" max="4" width="12.1796875" style="32" customWidth="1"/>
    <col min="5" max="16384" width="8.7265625" style="20"/>
  </cols>
  <sheetData>
    <row r="1" spans="1:4" s="18" customFormat="1" ht="22.5" customHeight="1" x14ac:dyDescent="0.35">
      <c r="A1" s="31"/>
      <c r="B1" s="19" t="s">
        <v>0</v>
      </c>
      <c r="C1" s="19"/>
      <c r="D1" s="32"/>
    </row>
    <row r="3" spans="1:4" ht="22.5" customHeight="1" x14ac:dyDescent="0.35">
      <c r="A3" s="296" t="s">
        <v>1</v>
      </c>
      <c r="B3" s="299" t="s">
        <v>2</v>
      </c>
      <c r="D3" s="304" t="s">
        <v>3</v>
      </c>
    </row>
    <row r="4" spans="1:4" ht="22.5" customHeight="1" x14ac:dyDescent="0.35">
      <c r="A4" s="296"/>
      <c r="B4" s="299"/>
      <c r="D4" s="304"/>
    </row>
    <row r="5" spans="1:4" ht="22.5" customHeight="1" x14ac:dyDescent="0.35">
      <c r="A5" s="296" t="s">
        <v>4</v>
      </c>
      <c r="B5" s="299" t="s">
        <v>5</v>
      </c>
      <c r="C5" s="21"/>
      <c r="D5" s="302" t="s">
        <v>6</v>
      </c>
    </row>
    <row r="6" spans="1:4" ht="22.5" customHeight="1" x14ac:dyDescent="0.35">
      <c r="A6" s="296"/>
      <c r="B6" s="299"/>
      <c r="C6" s="21"/>
      <c r="D6" s="303"/>
    </row>
    <row r="7" spans="1:4" ht="22.5" customHeight="1" x14ac:dyDescent="0.35">
      <c r="A7" s="296" t="s">
        <v>7</v>
      </c>
      <c r="B7" s="299" t="s">
        <v>8</v>
      </c>
      <c r="C7" s="21"/>
      <c r="D7" s="297" t="s">
        <v>9</v>
      </c>
    </row>
    <row r="8" spans="1:4" ht="27" customHeight="1" x14ac:dyDescent="0.35">
      <c r="A8" s="296"/>
      <c r="B8" s="299"/>
      <c r="C8" s="21"/>
      <c r="D8" s="298"/>
    </row>
    <row r="9" spans="1:4" ht="22.5" customHeight="1" x14ac:dyDescent="0.35">
      <c r="A9" s="296" t="s">
        <v>10</v>
      </c>
      <c r="B9" s="299" t="s">
        <v>11</v>
      </c>
      <c r="C9" s="21"/>
      <c r="D9" s="300" t="s">
        <v>12</v>
      </c>
    </row>
    <row r="10" spans="1:4" ht="22.5" customHeight="1" x14ac:dyDescent="0.35">
      <c r="A10" s="296"/>
      <c r="B10" s="299"/>
      <c r="C10" s="21"/>
      <c r="D10" s="301"/>
    </row>
    <row r="11" spans="1:4" ht="33" customHeight="1" x14ac:dyDescent="0.35">
      <c r="A11" s="33" t="s">
        <v>13</v>
      </c>
      <c r="B11" s="21" t="s">
        <v>14</v>
      </c>
      <c r="D11" s="252" t="s">
        <v>15</v>
      </c>
    </row>
  </sheetData>
  <mergeCells count="12">
    <mergeCell ref="A3:A4"/>
    <mergeCell ref="A5:A6"/>
    <mergeCell ref="D7:D8"/>
    <mergeCell ref="B7:B8"/>
    <mergeCell ref="B9:B10"/>
    <mergeCell ref="D9:D10"/>
    <mergeCell ref="A7:A8"/>
    <mergeCell ref="A9:A10"/>
    <mergeCell ref="B5:B6"/>
    <mergeCell ref="D5:D6"/>
    <mergeCell ref="B3:B4"/>
    <mergeCell ref="D3:D4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3C0DA-AF63-4180-B0A1-6B05179E4AD1}">
  <sheetPr>
    <pageSetUpPr fitToPage="1"/>
  </sheetPr>
  <dimension ref="A1:AC44"/>
  <sheetViews>
    <sheetView view="pageLayout" zoomScale="40" zoomScaleNormal="60" zoomScalePageLayoutView="40" workbookViewId="0">
      <selection activeCell="Y2" sqref="Y2"/>
    </sheetView>
  </sheetViews>
  <sheetFormatPr defaultColWidth="9.1796875" defaultRowHeight="15.5" x14ac:dyDescent="0.35"/>
  <cols>
    <col min="1" max="1" width="6.26953125" style="35" customWidth="1"/>
    <col min="2" max="2" width="47" style="35" customWidth="1"/>
    <col min="3" max="3" width="1.54296875" style="162" customWidth="1"/>
    <col min="4" max="4" width="1.81640625" style="142" customWidth="1"/>
    <col min="5" max="5" width="1.81640625" style="143" customWidth="1"/>
    <col min="6" max="6" width="21.54296875" style="35" customWidth="1"/>
    <col min="7" max="7" width="1.54296875" style="35" customWidth="1"/>
    <col min="8" max="8" width="12.453125" style="162" customWidth="1"/>
    <col min="9" max="9" width="1.54296875" style="162" customWidth="1"/>
    <col min="10" max="10" width="1.81640625" style="142" customWidth="1"/>
    <col min="11" max="11" width="1.81640625" style="143" customWidth="1"/>
    <col min="12" max="12" width="21.54296875" style="35" customWidth="1"/>
    <col min="13" max="13" width="1.81640625" style="35" customWidth="1"/>
    <col min="14" max="14" width="10.453125" style="144" hidden="1" customWidth="1"/>
    <col min="15" max="15" width="12.54296875" style="163" customWidth="1"/>
    <col min="16" max="16" width="5.54296875" style="35" customWidth="1"/>
    <col min="17" max="17" width="21.54296875" style="35" customWidth="1"/>
    <col min="18" max="18" width="1.81640625" style="35" customWidth="1"/>
    <col min="19" max="19" width="12.54296875" style="163" customWidth="1"/>
    <col min="20" max="20" width="1.54296875" style="162" customWidth="1"/>
    <col min="21" max="21" width="1.81640625" style="142" customWidth="1"/>
    <col min="22" max="22" width="1.81640625" style="143" customWidth="1"/>
    <col min="23" max="23" width="21.54296875" style="35" customWidth="1"/>
    <col min="24" max="24" width="1.81640625" style="35" customWidth="1"/>
    <col min="25" max="25" width="12.54296875" style="145" customWidth="1"/>
    <col min="26" max="26" width="5.54296875" style="35" customWidth="1"/>
    <col min="27" max="27" width="21.54296875" style="35" customWidth="1"/>
    <col min="28" max="28" width="1.81640625" style="35" customWidth="1"/>
    <col min="29" max="29" width="12.54296875" style="145" customWidth="1"/>
    <col min="30" max="16384" width="9.1796875" style="35"/>
  </cols>
  <sheetData>
    <row r="1" spans="1:29" x14ac:dyDescent="0.35">
      <c r="C1" s="141"/>
      <c r="H1" s="141"/>
      <c r="I1" s="141"/>
      <c r="O1" s="145"/>
      <c r="S1" s="145"/>
      <c r="T1" s="141"/>
    </row>
    <row r="2" spans="1:29" ht="20.25" customHeight="1" x14ac:dyDescent="0.35">
      <c r="A2" s="146"/>
      <c r="B2" s="147" t="s">
        <v>16</v>
      </c>
      <c r="C2" s="148"/>
      <c r="D2" s="149"/>
      <c r="E2" s="150"/>
      <c r="F2" s="220">
        <v>2018</v>
      </c>
      <c r="G2" s="146"/>
      <c r="H2" s="148"/>
      <c r="I2" s="148"/>
      <c r="J2" s="149"/>
      <c r="K2" s="150"/>
      <c r="L2" s="146"/>
      <c r="M2" s="146"/>
      <c r="N2" s="146"/>
      <c r="O2" s="151"/>
      <c r="Q2" s="146"/>
      <c r="R2" s="152"/>
      <c r="S2" s="153"/>
      <c r="T2" s="148"/>
      <c r="U2" s="149"/>
      <c r="V2" s="150"/>
      <c r="W2" s="152"/>
      <c r="X2" s="152"/>
      <c r="Y2" s="153"/>
      <c r="AA2" s="152"/>
      <c r="AB2" s="152"/>
      <c r="AC2" s="153"/>
    </row>
    <row r="3" spans="1:29" ht="20.25" customHeight="1" x14ac:dyDescent="0.35">
      <c r="A3" s="146"/>
      <c r="B3" s="147" t="s">
        <v>17</v>
      </c>
      <c r="C3" s="148"/>
      <c r="D3" s="149"/>
      <c r="E3" s="150"/>
      <c r="F3" s="221">
        <v>50</v>
      </c>
      <c r="G3" s="146"/>
      <c r="H3" s="291" t="s">
        <v>109</v>
      </c>
      <c r="I3" s="148"/>
      <c r="J3" s="149"/>
      <c r="K3" s="150"/>
      <c r="L3" s="146"/>
      <c r="M3" s="146"/>
      <c r="N3" s="146"/>
      <c r="O3" s="151"/>
      <c r="Q3" s="146"/>
      <c r="R3" s="152"/>
      <c r="S3" s="153"/>
      <c r="T3" s="148"/>
      <c r="U3" s="149"/>
      <c r="V3" s="150"/>
      <c r="W3" s="152"/>
      <c r="X3" s="152"/>
      <c r="Y3" s="153"/>
      <c r="AA3" s="152"/>
      <c r="AB3" s="152"/>
      <c r="AC3" s="153"/>
    </row>
    <row r="4" spans="1:29" ht="75" x14ac:dyDescent="0.35">
      <c r="C4" s="154"/>
      <c r="F4" s="155" t="s">
        <v>18</v>
      </c>
      <c r="G4" s="156"/>
      <c r="H4" s="157" t="s">
        <v>19</v>
      </c>
      <c r="I4" s="154"/>
      <c r="L4" s="155" t="s">
        <v>20</v>
      </c>
      <c r="N4" s="158" t="s">
        <v>21</v>
      </c>
      <c r="O4" s="159" t="s">
        <v>22</v>
      </c>
      <c r="Q4" s="155" t="s">
        <v>23</v>
      </c>
      <c r="S4" s="159" t="s">
        <v>24</v>
      </c>
      <c r="T4" s="154"/>
      <c r="W4" s="155" t="s">
        <v>25</v>
      </c>
      <c r="Y4" s="160" t="s">
        <v>26</v>
      </c>
      <c r="AA4" s="155" t="s">
        <v>27</v>
      </c>
      <c r="AC4" s="160" t="s">
        <v>26</v>
      </c>
    </row>
    <row r="5" spans="1:29" ht="30" customHeight="1" x14ac:dyDescent="0.35">
      <c r="B5" s="161" t="s">
        <v>28</v>
      </c>
    </row>
    <row r="6" spans="1:29" ht="27" customHeight="1" x14ac:dyDescent="0.35">
      <c r="A6" s="35" t="s">
        <v>29</v>
      </c>
      <c r="B6" s="151" t="s">
        <v>30</v>
      </c>
      <c r="C6" s="164"/>
      <c r="D6" s="165"/>
      <c r="E6" s="166"/>
      <c r="F6" s="222"/>
      <c r="G6" s="167"/>
      <c r="H6" s="164">
        <f>F6/12</f>
        <v>0</v>
      </c>
      <c r="I6" s="164"/>
      <c r="J6" s="165"/>
      <c r="K6" s="166"/>
      <c r="L6" s="168">
        <f>VLOOKUP(F2,'2025 Minister Salary Table'!B4:E44,2,FALSE)</f>
        <v>48650.708557863873</v>
      </c>
      <c r="M6" s="169"/>
      <c r="N6" s="170">
        <f>L6-F6</f>
        <v>48650.708557863873</v>
      </c>
      <c r="O6" s="170">
        <f>L6/12</f>
        <v>4054.2257131553229</v>
      </c>
      <c r="P6" s="169"/>
      <c r="Q6" s="168">
        <f>VLOOKUP(F2,'2025 Minister Salary Table'!B4:E44,4,FALSE)</f>
        <v>50488.124193322998</v>
      </c>
      <c r="R6" s="169"/>
      <c r="S6" s="170">
        <f>Q6/12</f>
        <v>4207.3436827769165</v>
      </c>
      <c r="T6" s="164"/>
      <c r="U6" s="165"/>
      <c r="V6" s="166"/>
      <c r="W6" s="222"/>
      <c r="X6" s="169"/>
      <c r="Y6" s="169">
        <f>W6/12</f>
        <v>0</v>
      </c>
      <c r="Z6" s="169"/>
      <c r="AA6" s="222"/>
      <c r="AB6" s="169"/>
      <c r="AC6" s="169">
        <f>AA6/12</f>
        <v>0</v>
      </c>
    </row>
    <row r="7" spans="1:29" ht="6" customHeight="1" x14ac:dyDescent="0.35">
      <c r="B7" s="171"/>
      <c r="C7" s="164"/>
      <c r="D7" s="165"/>
      <c r="E7" s="166"/>
      <c r="F7" s="172"/>
      <c r="G7" s="172"/>
      <c r="H7" s="164"/>
      <c r="I7" s="164"/>
      <c r="J7" s="165"/>
      <c r="K7" s="166"/>
      <c r="L7" s="172"/>
      <c r="M7" s="169"/>
      <c r="N7" s="170"/>
      <c r="O7" s="170"/>
      <c r="P7" s="169"/>
      <c r="Q7" s="172"/>
      <c r="R7" s="169"/>
      <c r="S7" s="170"/>
      <c r="T7" s="164"/>
      <c r="U7" s="165"/>
      <c r="V7" s="166"/>
      <c r="W7" s="172"/>
      <c r="X7" s="169"/>
      <c r="Y7" s="169"/>
      <c r="Z7" s="169"/>
      <c r="AA7" s="172"/>
      <c r="AB7" s="169"/>
      <c r="AC7" s="169"/>
    </row>
    <row r="8" spans="1:29" ht="27" customHeight="1" x14ac:dyDescent="0.35">
      <c r="A8" s="35" t="s">
        <v>31</v>
      </c>
      <c r="B8" s="151" t="s">
        <v>111</v>
      </c>
      <c r="C8" s="164"/>
      <c r="D8" s="165"/>
      <c r="E8" s="166"/>
      <c r="F8" s="223"/>
      <c r="G8" s="172"/>
      <c r="H8" s="164">
        <f>F8/12</f>
        <v>0</v>
      </c>
      <c r="I8" s="164"/>
      <c r="J8" s="165"/>
      <c r="K8" s="166"/>
      <c r="L8" s="173">
        <f>L6*$F$3/100</f>
        <v>24325.354278931933</v>
      </c>
      <c r="M8" s="169"/>
      <c r="N8" s="170">
        <f>L8-F8</f>
        <v>24325.354278931933</v>
      </c>
      <c r="O8" s="170">
        <f>L8/12</f>
        <v>2027.112856577661</v>
      </c>
      <c r="P8" s="169"/>
      <c r="Q8" s="173">
        <f>Q6*$F$3/100</f>
        <v>25244.062096661495</v>
      </c>
      <c r="R8" s="169"/>
      <c r="S8" s="170">
        <f>Q8/12</f>
        <v>2103.6718413884578</v>
      </c>
      <c r="T8" s="164"/>
      <c r="U8" s="165"/>
      <c r="V8" s="166"/>
      <c r="W8" s="223"/>
      <c r="X8" s="169"/>
      <c r="Y8" s="169">
        <f>W8/12</f>
        <v>0</v>
      </c>
      <c r="Z8" s="169"/>
      <c r="AA8" s="223"/>
      <c r="AB8" s="169"/>
      <c r="AC8" s="169">
        <f>AA8/12</f>
        <v>0</v>
      </c>
    </row>
    <row r="9" spans="1:29" ht="16.5" customHeight="1" x14ac:dyDescent="0.35">
      <c r="B9" s="174" t="s">
        <v>32</v>
      </c>
      <c r="C9" s="164"/>
      <c r="D9" s="165"/>
      <c r="E9" s="166"/>
      <c r="F9" s="175"/>
      <c r="G9" s="176"/>
      <c r="H9" s="164"/>
      <c r="I9" s="164"/>
      <c r="J9" s="165"/>
      <c r="K9" s="166"/>
      <c r="L9" s="176"/>
      <c r="M9" s="169"/>
      <c r="N9" s="170"/>
      <c r="O9" s="170"/>
      <c r="P9" s="169"/>
      <c r="Q9" s="176"/>
      <c r="R9" s="169"/>
      <c r="S9" s="170"/>
      <c r="T9" s="164"/>
      <c r="U9" s="165"/>
      <c r="V9" s="166"/>
      <c r="W9" s="176"/>
      <c r="X9" s="169"/>
      <c r="Y9" s="169"/>
      <c r="Z9" s="169"/>
      <c r="AA9" s="176"/>
      <c r="AB9" s="169"/>
      <c r="AC9" s="169"/>
    </row>
    <row r="10" spans="1:29" ht="6" customHeight="1" x14ac:dyDescent="0.35">
      <c r="B10" s="174"/>
      <c r="C10" s="164"/>
      <c r="D10" s="165"/>
      <c r="E10" s="166"/>
      <c r="F10" s="175"/>
      <c r="G10" s="176"/>
      <c r="H10" s="164"/>
      <c r="I10" s="164"/>
      <c r="J10" s="165"/>
      <c r="K10" s="166"/>
      <c r="L10" s="176"/>
      <c r="M10" s="169"/>
      <c r="N10" s="170"/>
      <c r="O10" s="170"/>
      <c r="P10" s="169"/>
      <c r="Q10" s="176"/>
      <c r="R10" s="169"/>
      <c r="S10" s="170"/>
      <c r="T10" s="164"/>
      <c r="U10" s="165"/>
      <c r="V10" s="166"/>
      <c r="W10" s="176"/>
      <c r="X10" s="169"/>
      <c r="Y10" s="169"/>
      <c r="Z10" s="169"/>
      <c r="AA10" s="176"/>
      <c r="AB10" s="169"/>
      <c r="AC10" s="169"/>
    </row>
    <row r="11" spans="1:29" ht="27" customHeight="1" x14ac:dyDescent="0.35">
      <c r="A11" s="35" t="s">
        <v>33</v>
      </c>
      <c r="B11" s="151" t="s">
        <v>34</v>
      </c>
      <c r="C11" s="164"/>
      <c r="D11" s="165"/>
      <c r="E11" s="166"/>
      <c r="F11" s="223"/>
      <c r="G11" s="176"/>
      <c r="H11" s="164">
        <f>F11/12</f>
        <v>0</v>
      </c>
      <c r="I11" s="164"/>
      <c r="J11" s="165"/>
      <c r="K11" s="166"/>
      <c r="L11" s="223"/>
      <c r="M11" s="169"/>
      <c r="N11" s="170"/>
      <c r="O11" s="170">
        <f>L11/12</f>
        <v>0</v>
      </c>
      <c r="P11" s="169"/>
      <c r="Q11" s="223"/>
      <c r="R11" s="169"/>
      <c r="S11" s="170">
        <f>Q11/12</f>
        <v>0</v>
      </c>
      <c r="T11" s="164"/>
      <c r="U11" s="165"/>
      <c r="V11" s="166"/>
      <c r="W11" s="223"/>
      <c r="X11" s="169"/>
      <c r="Y11" s="169">
        <f>W11/12</f>
        <v>0</v>
      </c>
      <c r="Z11" s="169"/>
      <c r="AA11" s="223"/>
      <c r="AB11" s="169"/>
      <c r="AC11" s="169">
        <f>AA11/12</f>
        <v>0</v>
      </c>
    </row>
    <row r="12" spans="1:29" ht="6" customHeight="1" x14ac:dyDescent="0.35">
      <c r="C12" s="164"/>
      <c r="D12" s="165"/>
      <c r="E12" s="166"/>
      <c r="F12" s="175"/>
      <c r="G12" s="176"/>
      <c r="H12" s="164"/>
      <c r="I12" s="164"/>
      <c r="J12" s="165"/>
      <c r="K12" s="166"/>
      <c r="L12" s="176"/>
      <c r="M12" s="169"/>
      <c r="N12" s="170"/>
      <c r="O12" s="170"/>
      <c r="P12" s="169"/>
      <c r="Q12" s="176"/>
      <c r="R12" s="169"/>
      <c r="S12" s="170"/>
      <c r="T12" s="164"/>
      <c r="U12" s="165"/>
      <c r="V12" s="166"/>
      <c r="W12" s="176"/>
      <c r="X12" s="169"/>
      <c r="Y12" s="169"/>
      <c r="Z12" s="169"/>
      <c r="AA12" s="176"/>
      <c r="AB12" s="169"/>
      <c r="AC12" s="169"/>
    </row>
    <row r="13" spans="1:29" ht="27" customHeight="1" x14ac:dyDescent="0.35">
      <c r="A13" s="35" t="s">
        <v>35</v>
      </c>
      <c r="B13" s="151" t="s">
        <v>36</v>
      </c>
      <c r="C13" s="164"/>
      <c r="D13" s="165"/>
      <c r="E13" s="166"/>
      <c r="F13" s="172">
        <f>(F6+F8+F11)*7.65%</f>
        <v>0</v>
      </c>
      <c r="G13" s="172"/>
      <c r="H13" s="164">
        <f>F13/12</f>
        <v>0</v>
      </c>
      <c r="I13" s="164"/>
      <c r="J13" s="165"/>
      <c r="K13" s="166"/>
      <c r="L13" s="172">
        <f>(L6+L8+L11)*7.65%</f>
        <v>5582.6688070148793</v>
      </c>
      <c r="M13" s="169"/>
      <c r="N13" s="170">
        <f>L13-F13</f>
        <v>5582.6688070148793</v>
      </c>
      <c r="O13" s="170">
        <f>L13/12</f>
        <v>465.22240058457328</v>
      </c>
      <c r="P13" s="169"/>
      <c r="Q13" s="172">
        <f>(Q6+Q8+Q11)*7.65%</f>
        <v>5793.5122511838144</v>
      </c>
      <c r="R13" s="169"/>
      <c r="S13" s="170">
        <f>Q13/12</f>
        <v>482.79268759865118</v>
      </c>
      <c r="T13" s="164"/>
      <c r="U13" s="165"/>
      <c r="V13" s="166"/>
      <c r="W13" s="172">
        <f>(W6+W8+W11)*7.65%</f>
        <v>0</v>
      </c>
      <c r="X13" s="169"/>
      <c r="Y13" s="169">
        <f>W13/12</f>
        <v>0</v>
      </c>
      <c r="Z13" s="169"/>
      <c r="AA13" s="172">
        <f>(AA6+AA8+AA11)*7.65%</f>
        <v>0</v>
      </c>
      <c r="AB13" s="169"/>
      <c r="AC13" s="169">
        <f>AA13/12</f>
        <v>0</v>
      </c>
    </row>
    <row r="14" spans="1:29" s="183" customFormat="1" ht="18" x14ac:dyDescent="0.35">
      <c r="A14" s="35"/>
      <c r="B14" s="177" t="s">
        <v>37</v>
      </c>
      <c r="C14" s="178"/>
      <c r="D14" s="165"/>
      <c r="E14" s="166"/>
      <c r="F14" s="179"/>
      <c r="G14" s="179"/>
      <c r="H14" s="180"/>
      <c r="I14" s="178"/>
      <c r="J14" s="165"/>
      <c r="K14" s="166"/>
      <c r="L14" s="179"/>
      <c r="M14" s="169"/>
      <c r="N14" s="181"/>
      <c r="O14" s="181"/>
      <c r="P14" s="169"/>
      <c r="Q14" s="179"/>
      <c r="R14" s="169"/>
      <c r="S14" s="181"/>
      <c r="T14" s="178"/>
      <c r="U14" s="165"/>
      <c r="V14" s="166"/>
      <c r="W14" s="179"/>
      <c r="X14" s="169"/>
      <c r="Y14" s="182"/>
      <c r="Z14" s="169"/>
      <c r="AA14" s="179"/>
      <c r="AB14" s="169"/>
      <c r="AC14" s="182"/>
    </row>
    <row r="15" spans="1:29" s="191" customFormat="1" ht="40" customHeight="1" x14ac:dyDescent="0.35">
      <c r="A15" s="35" t="s">
        <v>38</v>
      </c>
      <c r="B15" s="184" t="s">
        <v>39</v>
      </c>
      <c r="C15" s="178"/>
      <c r="D15" s="165"/>
      <c r="E15" s="166"/>
      <c r="F15" s="185">
        <f>SUM(F6:F14)</f>
        <v>0</v>
      </c>
      <c r="G15" s="185"/>
      <c r="H15" s="186">
        <f>F15/12</f>
        <v>0</v>
      </c>
      <c r="I15" s="178"/>
      <c r="J15" s="165"/>
      <c r="K15" s="166"/>
      <c r="L15" s="185">
        <f>SUM(L6:L14)</f>
        <v>78558.731643810694</v>
      </c>
      <c r="M15" s="169"/>
      <c r="N15" s="187">
        <f>L15-F15</f>
        <v>78558.731643810694</v>
      </c>
      <c r="O15" s="187">
        <f>L15/12</f>
        <v>6546.5609703175578</v>
      </c>
      <c r="P15" s="169"/>
      <c r="Q15" s="185">
        <f>SUM(Q6:Q14)</f>
        <v>81525.698541168313</v>
      </c>
      <c r="R15" s="169"/>
      <c r="S15" s="187">
        <f>Q15/12</f>
        <v>6793.8082117640261</v>
      </c>
      <c r="T15" s="178"/>
      <c r="U15" s="165"/>
      <c r="V15" s="166"/>
      <c r="W15" s="188">
        <f>SUM(W6:W14)</f>
        <v>0</v>
      </c>
      <c r="X15" s="189"/>
      <c r="Y15" s="190">
        <f>W15/12</f>
        <v>0</v>
      </c>
      <c r="Z15" s="169"/>
      <c r="AA15" s="188">
        <f>SUM(AA6:AA14)</f>
        <v>0</v>
      </c>
      <c r="AB15" s="189"/>
      <c r="AC15" s="190">
        <f>AA15/12</f>
        <v>0</v>
      </c>
    </row>
    <row r="16" spans="1:29" ht="17.5" customHeight="1" x14ac:dyDescent="0.35">
      <c r="B16" s="151"/>
      <c r="C16" s="164"/>
      <c r="D16" s="165"/>
      <c r="E16" s="166"/>
      <c r="F16" s="192"/>
      <c r="G16" s="192"/>
      <c r="H16" s="164"/>
      <c r="I16" s="164"/>
      <c r="J16" s="165"/>
      <c r="K16" s="166"/>
      <c r="L16" s="192"/>
      <c r="M16" s="169"/>
      <c r="N16" s="170"/>
      <c r="O16" s="170"/>
      <c r="P16" s="169"/>
      <c r="Q16" s="192"/>
      <c r="R16" s="169"/>
      <c r="S16" s="170"/>
      <c r="T16" s="164"/>
      <c r="U16" s="165"/>
      <c r="V16" s="166"/>
      <c r="W16" s="192"/>
      <c r="X16" s="169"/>
      <c r="Y16" s="169"/>
      <c r="Z16" s="169"/>
      <c r="AA16" s="192"/>
      <c r="AB16" s="169"/>
      <c r="AC16" s="169"/>
    </row>
    <row r="17" spans="1:29" ht="30" customHeight="1" x14ac:dyDescent="0.35">
      <c r="B17" s="161" t="s">
        <v>40</v>
      </c>
      <c r="C17" s="164"/>
      <c r="D17" s="165"/>
      <c r="E17" s="166"/>
      <c r="F17" s="192"/>
      <c r="G17" s="192"/>
      <c r="H17" s="164"/>
      <c r="I17" s="164"/>
      <c r="J17" s="165"/>
      <c r="K17" s="166"/>
      <c r="L17" s="192"/>
      <c r="M17" s="169"/>
      <c r="N17" s="170"/>
      <c r="O17" s="170"/>
      <c r="P17" s="169"/>
      <c r="Q17" s="192"/>
      <c r="R17" s="169"/>
      <c r="S17" s="170"/>
      <c r="T17" s="164"/>
      <c r="U17" s="165"/>
      <c r="V17" s="166"/>
      <c r="W17" s="192"/>
      <c r="X17" s="169"/>
      <c r="Y17" s="169"/>
      <c r="Z17" s="169"/>
      <c r="AA17" s="192"/>
      <c r="AB17" s="169"/>
      <c r="AC17" s="169"/>
    </row>
    <row r="18" spans="1:29" ht="27" customHeight="1" x14ac:dyDescent="0.35">
      <c r="A18" s="35" t="s">
        <v>41</v>
      </c>
      <c r="B18" s="151" t="s">
        <v>42</v>
      </c>
      <c r="C18" s="164"/>
      <c r="D18" s="165"/>
      <c r="E18" s="166"/>
      <c r="F18" s="223"/>
      <c r="G18" s="192"/>
      <c r="H18" s="164"/>
      <c r="I18" s="164"/>
      <c r="J18" s="165"/>
      <c r="K18" s="166"/>
      <c r="L18" s="223"/>
      <c r="M18" s="169"/>
      <c r="N18" s="170"/>
      <c r="O18" s="170"/>
      <c r="P18" s="169"/>
      <c r="Q18" s="223"/>
      <c r="R18" s="169"/>
      <c r="S18" s="170"/>
      <c r="T18" s="164"/>
      <c r="U18" s="165"/>
      <c r="V18" s="166"/>
      <c r="W18" s="223"/>
      <c r="X18" s="169"/>
      <c r="Y18" s="169">
        <f>W18/12</f>
        <v>0</v>
      </c>
      <c r="Z18" s="169"/>
      <c r="AA18" s="223"/>
      <c r="AB18" s="169"/>
      <c r="AC18" s="169">
        <f>AA18/12</f>
        <v>0</v>
      </c>
    </row>
    <row r="19" spans="1:29" ht="6" customHeight="1" x14ac:dyDescent="0.35">
      <c r="B19" s="151"/>
      <c r="C19" s="164"/>
      <c r="D19" s="165"/>
      <c r="E19" s="166"/>
      <c r="F19" s="192"/>
      <c r="G19" s="192"/>
      <c r="H19" s="164"/>
      <c r="I19" s="164"/>
      <c r="J19" s="165"/>
      <c r="K19" s="166"/>
      <c r="L19" s="192"/>
      <c r="M19" s="169"/>
      <c r="N19" s="170"/>
      <c r="O19" s="170"/>
      <c r="P19" s="169"/>
      <c r="Q19" s="192"/>
      <c r="R19" s="169"/>
      <c r="S19" s="170"/>
      <c r="T19" s="164"/>
      <c r="U19" s="165"/>
      <c r="V19" s="166"/>
      <c r="W19" s="192"/>
      <c r="X19" s="169"/>
      <c r="Y19" s="169"/>
      <c r="Z19" s="169"/>
      <c r="AA19" s="192"/>
      <c r="AB19" s="169"/>
      <c r="AC19" s="169"/>
    </row>
    <row r="20" spans="1:29" s="183" customFormat="1" ht="24" customHeight="1" x14ac:dyDescent="0.35">
      <c r="A20" s="35" t="s">
        <v>43</v>
      </c>
      <c r="B20" s="193" t="s">
        <v>44</v>
      </c>
      <c r="C20" s="178"/>
      <c r="D20" s="165"/>
      <c r="E20" s="166"/>
      <c r="F20" s="223"/>
      <c r="G20" s="194"/>
      <c r="H20" s="180"/>
      <c r="I20" s="178"/>
      <c r="J20" s="165"/>
      <c r="K20" s="166"/>
      <c r="L20" s="223"/>
      <c r="M20" s="169"/>
      <c r="N20" s="181"/>
      <c r="O20" s="181"/>
      <c r="P20" s="169"/>
      <c r="Q20" s="223"/>
      <c r="R20" s="169"/>
      <c r="S20" s="181"/>
      <c r="T20" s="178"/>
      <c r="U20" s="165"/>
      <c r="V20" s="166"/>
      <c r="W20" s="223"/>
      <c r="X20" s="169"/>
      <c r="Y20" s="169">
        <f>W20/12</f>
        <v>0</v>
      </c>
      <c r="Z20" s="169"/>
      <c r="AA20" s="223"/>
      <c r="AB20" s="169"/>
      <c r="AC20" s="169">
        <f>AA20/12</f>
        <v>0</v>
      </c>
    </row>
    <row r="21" spans="1:29" s="191" customFormat="1" ht="40" customHeight="1" x14ac:dyDescent="0.35">
      <c r="A21" s="35" t="s">
        <v>45</v>
      </c>
      <c r="B21" s="184" t="s">
        <v>46</v>
      </c>
      <c r="C21" s="178"/>
      <c r="D21" s="165"/>
      <c r="E21" s="166"/>
      <c r="F21" s="185">
        <f>SUM(F10:F20)</f>
        <v>0</v>
      </c>
      <c r="G21" s="185"/>
      <c r="H21" s="186">
        <f>F21/12</f>
        <v>0</v>
      </c>
      <c r="I21" s="178"/>
      <c r="J21" s="165"/>
      <c r="K21" s="166"/>
      <c r="L21" s="185">
        <f>SUM(L18:L20)</f>
        <v>0</v>
      </c>
      <c r="M21" s="169"/>
      <c r="N21" s="187">
        <f>L21-F21</f>
        <v>0</v>
      </c>
      <c r="O21" s="187">
        <f>L21/12</f>
        <v>0</v>
      </c>
      <c r="P21" s="169"/>
      <c r="Q21" s="185">
        <f>SUM(Q18:Q20)</f>
        <v>0</v>
      </c>
      <c r="R21" s="169"/>
      <c r="S21" s="187">
        <f>Q21/12</f>
        <v>0</v>
      </c>
      <c r="T21" s="178"/>
      <c r="U21" s="165"/>
      <c r="V21" s="166"/>
      <c r="W21" s="185">
        <f>SUM(W18:W20)</f>
        <v>0</v>
      </c>
      <c r="X21" s="169"/>
      <c r="Y21" s="190">
        <f>W21/12</f>
        <v>0</v>
      </c>
      <c r="Z21" s="169"/>
      <c r="AA21" s="185">
        <f>SUM(AA18:AA20)</f>
        <v>0</v>
      </c>
      <c r="AB21" s="169"/>
      <c r="AC21" s="190">
        <f>AA21/12</f>
        <v>0</v>
      </c>
    </row>
    <row r="22" spans="1:29" ht="17.5" customHeight="1" x14ac:dyDescent="0.35">
      <c r="B22" s="151"/>
      <c r="C22" s="164"/>
      <c r="D22" s="165"/>
      <c r="E22" s="166"/>
      <c r="F22" s="192"/>
      <c r="G22" s="192"/>
      <c r="H22" s="164"/>
      <c r="I22" s="164"/>
      <c r="J22" s="165"/>
      <c r="K22" s="166"/>
      <c r="L22" s="192"/>
      <c r="M22" s="169"/>
      <c r="N22" s="170"/>
      <c r="O22" s="170"/>
      <c r="P22" s="169"/>
      <c r="Q22" s="192"/>
      <c r="R22" s="169"/>
      <c r="S22" s="170"/>
      <c r="T22" s="164"/>
      <c r="U22" s="165"/>
      <c r="V22" s="166"/>
      <c r="W22" s="169"/>
      <c r="X22" s="169"/>
      <c r="Y22" s="169"/>
      <c r="Z22" s="169"/>
      <c r="AA22" s="169"/>
      <c r="AB22" s="169"/>
      <c r="AC22" s="169"/>
    </row>
    <row r="23" spans="1:29" ht="18.75" hidden="1" customHeight="1" x14ac:dyDescent="0.35">
      <c r="B23" s="145"/>
      <c r="C23" s="164"/>
      <c r="D23" s="165"/>
      <c r="E23" s="166"/>
      <c r="F23" s="169"/>
      <c r="G23" s="169"/>
      <c r="H23" s="164"/>
      <c r="I23" s="164"/>
      <c r="J23" s="165"/>
      <c r="K23" s="166"/>
      <c r="L23" s="169"/>
      <c r="M23" s="169"/>
      <c r="N23" s="170"/>
      <c r="O23" s="170"/>
      <c r="P23" s="169"/>
      <c r="Q23" s="169"/>
      <c r="R23" s="169"/>
      <c r="S23" s="170"/>
      <c r="T23" s="164"/>
      <c r="U23" s="165"/>
      <c r="V23" s="166"/>
      <c r="W23" s="169"/>
      <c r="X23" s="169"/>
      <c r="Y23" s="169"/>
      <c r="Z23" s="169"/>
      <c r="AA23" s="169"/>
      <c r="AB23" s="169"/>
      <c r="AC23" s="169"/>
    </row>
    <row r="24" spans="1:29" ht="27" customHeight="1" x14ac:dyDescent="0.35">
      <c r="B24" s="195" t="s">
        <v>47</v>
      </c>
      <c r="C24" s="164"/>
      <c r="D24" s="165"/>
      <c r="E24" s="166"/>
      <c r="F24" s="196"/>
      <c r="G24" s="196"/>
      <c r="H24" s="164"/>
      <c r="I24" s="164"/>
      <c r="J24" s="165"/>
      <c r="K24" s="166"/>
      <c r="L24" s="196"/>
      <c r="M24" s="169"/>
      <c r="N24" s="170"/>
      <c r="O24" s="170"/>
      <c r="P24" s="169"/>
      <c r="Q24" s="196"/>
      <c r="R24" s="169"/>
      <c r="S24" s="170"/>
      <c r="T24" s="164"/>
      <c r="U24" s="165"/>
      <c r="V24" s="166"/>
      <c r="W24" s="196"/>
      <c r="X24" s="169"/>
      <c r="Y24" s="169"/>
      <c r="Z24" s="169"/>
      <c r="AA24" s="196"/>
      <c r="AB24" s="169"/>
      <c r="AC24" s="169"/>
    </row>
    <row r="25" spans="1:29" ht="27" customHeight="1" x14ac:dyDescent="0.35">
      <c r="A25" s="35" t="s">
        <v>48</v>
      </c>
      <c r="B25" s="151" t="s">
        <v>49</v>
      </c>
      <c r="C25" s="164"/>
      <c r="D25" s="165"/>
      <c r="E25" s="166"/>
      <c r="F25" s="197">
        <f>0.1*F15</f>
        <v>0</v>
      </c>
      <c r="G25" s="197"/>
      <c r="H25" s="164">
        <f>F25/12</f>
        <v>0</v>
      </c>
      <c r="I25" s="164"/>
      <c r="J25" s="165"/>
      <c r="K25" s="166"/>
      <c r="L25" s="197">
        <f>0.1*L15</f>
        <v>7855.8731643810697</v>
      </c>
      <c r="M25" s="169"/>
      <c r="N25" s="170">
        <f>L25-F25</f>
        <v>7855.8731643810697</v>
      </c>
      <c r="O25" s="170">
        <f>L25/12</f>
        <v>654.65609703175585</v>
      </c>
      <c r="P25" s="169"/>
      <c r="Q25" s="197">
        <f>0.1*Q15</f>
        <v>8152.5698541168313</v>
      </c>
      <c r="R25" s="169"/>
      <c r="S25" s="170">
        <f>Q25/12</f>
        <v>679.38082117640261</v>
      </c>
      <c r="T25" s="164"/>
      <c r="U25" s="165"/>
      <c r="V25" s="166"/>
      <c r="W25" s="197">
        <f>0.1*W15</f>
        <v>0</v>
      </c>
      <c r="X25" s="169"/>
      <c r="Y25" s="169">
        <f>W25/12</f>
        <v>0</v>
      </c>
      <c r="Z25" s="169"/>
      <c r="AA25" s="197">
        <f>0.1*AA15</f>
        <v>0</v>
      </c>
      <c r="AB25" s="169"/>
      <c r="AC25" s="169">
        <f>AA25/12</f>
        <v>0</v>
      </c>
    </row>
    <row r="26" spans="1:29" ht="6" customHeight="1" x14ac:dyDescent="0.35">
      <c r="B26" s="198"/>
      <c r="C26" s="164"/>
      <c r="D26" s="165"/>
      <c r="E26" s="166"/>
      <c r="F26" s="197"/>
      <c r="G26" s="197"/>
      <c r="H26" s="164"/>
      <c r="I26" s="164"/>
      <c r="J26" s="165"/>
      <c r="K26" s="166"/>
      <c r="L26" s="197"/>
      <c r="M26" s="169"/>
      <c r="N26" s="170"/>
      <c r="O26" s="170"/>
      <c r="P26" s="169"/>
      <c r="Q26" s="197"/>
      <c r="R26" s="169"/>
      <c r="S26" s="170"/>
      <c r="T26" s="164"/>
      <c r="U26" s="165"/>
      <c r="V26" s="166"/>
      <c r="W26" s="197"/>
      <c r="X26" s="169"/>
      <c r="Y26" s="169"/>
      <c r="Z26" s="169"/>
      <c r="AA26" s="197"/>
      <c r="AB26" s="169"/>
      <c r="AC26" s="169"/>
    </row>
    <row r="27" spans="1:29" ht="27" customHeight="1" x14ac:dyDescent="0.35">
      <c r="A27" s="35" t="s">
        <v>50</v>
      </c>
      <c r="B27" s="151" t="s">
        <v>51</v>
      </c>
      <c r="C27" s="164"/>
      <c r="D27" s="165"/>
      <c r="E27" s="166"/>
      <c r="F27" s="224"/>
      <c r="G27" s="197"/>
      <c r="H27" s="164">
        <f>F27/12</f>
        <v>0</v>
      </c>
      <c r="I27" s="164"/>
      <c r="J27" s="165"/>
      <c r="K27" s="166"/>
      <c r="L27" s="224"/>
      <c r="M27" s="169"/>
      <c r="N27" s="170">
        <f>L27-F27</f>
        <v>0</v>
      </c>
      <c r="O27" s="170">
        <f>L27/12</f>
        <v>0</v>
      </c>
      <c r="P27" s="169"/>
      <c r="Q27" s="224"/>
      <c r="R27" s="169"/>
      <c r="S27" s="170">
        <f>Q27/12</f>
        <v>0</v>
      </c>
      <c r="T27" s="164"/>
      <c r="U27" s="165"/>
      <c r="V27" s="166"/>
      <c r="W27" s="224"/>
      <c r="X27" s="169"/>
      <c r="Y27" s="169">
        <f>W27/12</f>
        <v>0</v>
      </c>
      <c r="Z27" s="169"/>
      <c r="AA27" s="224"/>
      <c r="AB27" s="169"/>
      <c r="AC27" s="169">
        <f>AA27/12</f>
        <v>0</v>
      </c>
    </row>
    <row r="28" spans="1:29" ht="6" customHeight="1" x14ac:dyDescent="0.35">
      <c r="B28" s="198"/>
      <c r="C28" s="164"/>
      <c r="D28" s="165"/>
      <c r="E28" s="166"/>
      <c r="F28" s="199"/>
      <c r="G28" s="199"/>
      <c r="H28" s="164"/>
      <c r="I28" s="164"/>
      <c r="J28" s="165"/>
      <c r="K28" s="166"/>
      <c r="L28" s="199"/>
      <c r="M28" s="169"/>
      <c r="N28" s="170"/>
      <c r="O28" s="170"/>
      <c r="P28" s="169"/>
      <c r="Q28" s="199"/>
      <c r="R28" s="169"/>
      <c r="S28" s="170"/>
      <c r="T28" s="164"/>
      <c r="U28" s="165"/>
      <c r="V28" s="166"/>
      <c r="W28" s="199"/>
      <c r="X28" s="169"/>
      <c r="Y28" s="169"/>
      <c r="Z28" s="169"/>
      <c r="AA28" s="199"/>
      <c r="AB28" s="169"/>
      <c r="AC28" s="169"/>
    </row>
    <row r="29" spans="1:29" s="183" customFormat="1" ht="27" customHeight="1" x14ac:dyDescent="0.35">
      <c r="A29" s="35" t="s">
        <v>52</v>
      </c>
      <c r="B29" s="193" t="s">
        <v>108</v>
      </c>
      <c r="C29" s="178"/>
      <c r="D29" s="165"/>
      <c r="E29" s="166"/>
      <c r="F29" s="200">
        <f>F15*0.005</f>
        <v>0</v>
      </c>
      <c r="G29" s="201"/>
      <c r="H29" s="180">
        <f>F29/12</f>
        <v>0</v>
      </c>
      <c r="I29" s="178"/>
      <c r="J29" s="165"/>
      <c r="K29" s="166"/>
      <c r="L29" s="200">
        <f>L15*0.005</f>
        <v>392.7936582190535</v>
      </c>
      <c r="M29" s="169"/>
      <c r="N29" s="181">
        <f>L29-F29</f>
        <v>392.7936582190535</v>
      </c>
      <c r="O29" s="181">
        <f>L29/12</f>
        <v>32.732804851587794</v>
      </c>
      <c r="P29" s="169"/>
      <c r="Q29" s="200">
        <f>Q15*0.005</f>
        <v>407.62849270584155</v>
      </c>
      <c r="R29" s="169"/>
      <c r="S29" s="181">
        <f>Q29/12</f>
        <v>33.969041058820132</v>
      </c>
      <c r="T29" s="178"/>
      <c r="U29" s="165"/>
      <c r="V29" s="166"/>
      <c r="W29" s="200">
        <f>W15*0.005</f>
        <v>0</v>
      </c>
      <c r="X29" s="169"/>
      <c r="Y29" s="182">
        <f>W29/12</f>
        <v>0</v>
      </c>
      <c r="Z29" s="169"/>
      <c r="AA29" s="200">
        <f>AA15*0.005</f>
        <v>0</v>
      </c>
      <c r="AB29" s="169"/>
      <c r="AC29" s="182">
        <f>AA29/12</f>
        <v>0</v>
      </c>
    </row>
    <row r="30" spans="1:29" s="191" customFormat="1" ht="40" customHeight="1" x14ac:dyDescent="0.35">
      <c r="A30" s="35" t="s">
        <v>53</v>
      </c>
      <c r="B30" s="184" t="s">
        <v>54</v>
      </c>
      <c r="C30" s="178"/>
      <c r="D30" s="165"/>
      <c r="E30" s="166"/>
      <c r="F30" s="185">
        <f>F25+F27+F29</f>
        <v>0</v>
      </c>
      <c r="G30" s="185"/>
      <c r="H30" s="186">
        <f>F30/12</f>
        <v>0</v>
      </c>
      <c r="I30" s="178"/>
      <c r="J30" s="165"/>
      <c r="K30" s="166"/>
      <c r="L30" s="185">
        <f>L25+L27+L29</f>
        <v>8248.6668226001239</v>
      </c>
      <c r="M30" s="169"/>
      <c r="N30" s="187">
        <f>L30-F30</f>
        <v>8248.6668226001239</v>
      </c>
      <c r="O30" s="187">
        <f>L30/12</f>
        <v>687.38890188334369</v>
      </c>
      <c r="P30" s="169"/>
      <c r="Q30" s="185">
        <f>Q25+Q27+Q29</f>
        <v>8560.1983468226736</v>
      </c>
      <c r="R30" s="169"/>
      <c r="S30" s="187">
        <f>Q30/12</f>
        <v>713.34986223522276</v>
      </c>
      <c r="T30" s="178"/>
      <c r="U30" s="165"/>
      <c r="V30" s="166"/>
      <c r="W30" s="185">
        <f>W25+W27+W29</f>
        <v>0</v>
      </c>
      <c r="X30" s="169"/>
      <c r="Y30" s="190">
        <f>W30/12</f>
        <v>0</v>
      </c>
      <c r="Z30" s="169"/>
      <c r="AA30" s="185">
        <f>AA25+AA27+AA29</f>
        <v>0</v>
      </c>
      <c r="AB30" s="169"/>
      <c r="AC30" s="190">
        <f>AA30/12</f>
        <v>0</v>
      </c>
    </row>
    <row r="31" spans="1:29" ht="17.5" customHeight="1" x14ac:dyDescent="0.35">
      <c r="B31" s="151"/>
      <c r="C31" s="164"/>
      <c r="D31" s="165"/>
      <c r="E31" s="166"/>
      <c r="F31" s="169"/>
      <c r="G31" s="169"/>
      <c r="H31" s="164"/>
      <c r="I31" s="164"/>
      <c r="J31" s="165"/>
      <c r="K31" s="166"/>
      <c r="L31" s="169"/>
      <c r="M31" s="169"/>
      <c r="N31" s="170"/>
      <c r="O31" s="170"/>
      <c r="P31" s="169"/>
      <c r="Q31" s="169"/>
      <c r="R31" s="169"/>
      <c r="S31" s="170"/>
      <c r="T31" s="164"/>
      <c r="U31" s="165"/>
      <c r="V31" s="166"/>
      <c r="W31" s="169"/>
      <c r="X31" s="169"/>
      <c r="Y31" s="169"/>
      <c r="Z31" s="169"/>
      <c r="AA31" s="169"/>
      <c r="AB31" s="169"/>
      <c r="AC31" s="169"/>
    </row>
    <row r="32" spans="1:29" ht="1" hidden="1" customHeight="1" x14ac:dyDescent="0.35">
      <c r="B32" s="151"/>
      <c r="C32" s="164"/>
      <c r="D32" s="165"/>
      <c r="E32" s="166"/>
      <c r="F32" s="169"/>
      <c r="G32" s="169"/>
      <c r="H32" s="164"/>
      <c r="I32" s="164"/>
      <c r="J32" s="165"/>
      <c r="K32" s="166"/>
      <c r="L32" s="169"/>
      <c r="M32" s="169"/>
      <c r="N32" s="170"/>
      <c r="O32" s="170"/>
      <c r="P32" s="169"/>
      <c r="Q32" s="169"/>
      <c r="R32" s="169"/>
      <c r="S32" s="170"/>
      <c r="T32" s="164"/>
      <c r="U32" s="165"/>
      <c r="V32" s="166"/>
      <c r="W32" s="169"/>
      <c r="X32" s="169"/>
      <c r="Y32" s="169"/>
      <c r="Z32" s="169"/>
      <c r="AA32" s="169"/>
      <c r="AB32" s="169"/>
      <c r="AC32" s="169"/>
    </row>
    <row r="33" spans="1:29" ht="44.15" customHeight="1" thickBot="1" x14ac:dyDescent="0.4">
      <c r="B33" s="202" t="s">
        <v>55</v>
      </c>
      <c r="C33" s="178"/>
      <c r="D33" s="165"/>
      <c r="E33" s="166"/>
      <c r="F33" s="203">
        <f>F15+F30</f>
        <v>0</v>
      </c>
      <c r="G33" s="203"/>
      <c r="H33" s="204">
        <f>F33/12</f>
        <v>0</v>
      </c>
      <c r="I33" s="178"/>
      <c r="J33" s="165"/>
      <c r="K33" s="166"/>
      <c r="L33" s="203">
        <f>L15+L30</f>
        <v>86807.398466410814</v>
      </c>
      <c r="M33" s="169"/>
      <c r="N33" s="205">
        <f>L33-F33</f>
        <v>86807.398466410814</v>
      </c>
      <c r="O33" s="205">
        <f>L33/12</f>
        <v>7233.9498722009012</v>
      </c>
      <c r="P33" s="169"/>
      <c r="Q33" s="203">
        <f>Q15+Q30</f>
        <v>90085.896887990981</v>
      </c>
      <c r="R33" s="169"/>
      <c r="S33" s="205">
        <f>Q33/12</f>
        <v>7507.1580739992487</v>
      </c>
      <c r="T33" s="178"/>
      <c r="U33" s="165"/>
      <c r="V33" s="166"/>
      <c r="W33" s="203">
        <f>W15+W21+W30</f>
        <v>0</v>
      </c>
      <c r="X33" s="206"/>
      <c r="Y33" s="207">
        <f>W33/12</f>
        <v>0</v>
      </c>
      <c r="Z33" s="169"/>
      <c r="AA33" s="203">
        <f>AA15+AA21+AA30</f>
        <v>0</v>
      </c>
      <c r="AB33" s="206"/>
      <c r="AC33" s="207">
        <f>AA33/12</f>
        <v>0</v>
      </c>
    </row>
    <row r="34" spans="1:29" ht="16" thickTop="1" x14ac:dyDescent="0.35">
      <c r="B34" s="208"/>
      <c r="C34" s="164"/>
      <c r="D34" s="165"/>
      <c r="E34" s="166"/>
      <c r="F34" s="209"/>
      <c r="G34" s="210"/>
      <c r="H34" s="164"/>
      <c r="I34" s="164"/>
      <c r="J34" s="165"/>
      <c r="K34" s="166"/>
      <c r="L34" s="209"/>
      <c r="M34" s="169"/>
      <c r="N34" s="170"/>
      <c r="O34" s="170"/>
      <c r="P34" s="169"/>
      <c r="Q34" s="209"/>
      <c r="R34" s="169"/>
      <c r="S34" s="170"/>
      <c r="T34" s="164"/>
      <c r="U34" s="165"/>
      <c r="V34" s="166"/>
      <c r="W34" s="209"/>
      <c r="X34" s="169"/>
      <c r="Y34" s="169"/>
      <c r="Z34" s="169"/>
      <c r="AA34" s="209"/>
      <c r="AB34" s="169"/>
      <c r="AC34" s="169"/>
    </row>
    <row r="35" spans="1:29" ht="32.25" hidden="1" customHeight="1" x14ac:dyDescent="0.35">
      <c r="B35" s="211" t="s">
        <v>56</v>
      </c>
      <c r="C35" s="164"/>
      <c r="D35" s="165"/>
      <c r="E35" s="166"/>
      <c r="F35" s="212"/>
      <c r="G35" s="169"/>
      <c r="H35" s="164"/>
      <c r="I35" s="164"/>
      <c r="J35" s="165"/>
      <c r="K35" s="166"/>
      <c r="L35" s="169"/>
      <c r="M35" s="169"/>
      <c r="N35" s="170"/>
      <c r="O35" s="170"/>
      <c r="P35" s="169"/>
      <c r="Q35" s="169"/>
      <c r="R35" s="169"/>
      <c r="S35" s="170"/>
      <c r="T35" s="164"/>
      <c r="U35" s="165"/>
      <c r="V35" s="166"/>
      <c r="W35" s="169"/>
      <c r="X35" s="169"/>
      <c r="Y35" s="169"/>
      <c r="Z35" s="169"/>
      <c r="AA35" s="169"/>
      <c r="AB35" s="169"/>
      <c r="AC35" s="169"/>
    </row>
    <row r="36" spans="1:29" x14ac:dyDescent="0.35">
      <c r="C36" s="164"/>
      <c r="D36" s="165"/>
      <c r="E36" s="166"/>
      <c r="F36" s="169"/>
      <c r="G36" s="169"/>
      <c r="H36" s="164"/>
      <c r="I36" s="164"/>
      <c r="J36" s="165"/>
      <c r="K36" s="166"/>
      <c r="L36" s="169"/>
      <c r="M36" s="169"/>
      <c r="N36" s="170"/>
      <c r="O36" s="170"/>
      <c r="P36" s="169"/>
      <c r="Q36" s="169"/>
      <c r="R36" s="169"/>
      <c r="S36" s="170"/>
      <c r="T36" s="164"/>
      <c r="U36" s="165"/>
      <c r="V36" s="166"/>
      <c r="W36" s="169"/>
      <c r="X36" s="169"/>
      <c r="Y36" s="169"/>
      <c r="Z36" s="169"/>
      <c r="AA36" s="169"/>
      <c r="AB36" s="169"/>
      <c r="AC36" s="169"/>
    </row>
    <row r="37" spans="1:29" ht="27" customHeight="1" x14ac:dyDescent="0.35">
      <c r="B37" s="213" t="s">
        <v>57</v>
      </c>
      <c r="C37" s="214"/>
      <c r="D37" s="215"/>
      <c r="E37" s="216"/>
      <c r="F37" s="196"/>
      <c r="G37" s="196"/>
      <c r="H37" s="214"/>
      <c r="I37" s="214"/>
      <c r="J37" s="215"/>
      <c r="K37" s="216"/>
      <c r="L37" s="196"/>
      <c r="M37" s="169"/>
      <c r="N37" s="217"/>
      <c r="O37" s="217"/>
      <c r="P37" s="169"/>
      <c r="Q37" s="196"/>
      <c r="R37" s="169"/>
      <c r="S37" s="217"/>
      <c r="T37" s="214"/>
      <c r="U37" s="215"/>
      <c r="V37" s="216"/>
      <c r="W37" s="196"/>
      <c r="X37" s="169"/>
      <c r="Y37" s="218"/>
      <c r="Z37" s="169"/>
      <c r="AA37" s="196"/>
      <c r="AB37" s="169"/>
      <c r="AC37" s="218"/>
    </row>
    <row r="38" spans="1:29" ht="27" customHeight="1" x14ac:dyDescent="0.35">
      <c r="A38" s="35" t="s">
        <v>58</v>
      </c>
      <c r="B38" s="151" t="s">
        <v>59</v>
      </c>
      <c r="C38" s="164"/>
      <c r="D38" s="165"/>
      <c r="E38" s="166"/>
      <c r="F38" s="223"/>
      <c r="G38" s="169"/>
      <c r="H38" s="164"/>
      <c r="I38" s="164"/>
      <c r="J38" s="165"/>
      <c r="K38" s="166"/>
      <c r="L38" s="226"/>
      <c r="M38" s="169"/>
      <c r="N38" s="170"/>
      <c r="O38" s="170"/>
      <c r="P38" s="169"/>
      <c r="Q38" s="226"/>
      <c r="R38" s="169"/>
      <c r="S38" s="170"/>
      <c r="T38" s="164"/>
      <c r="U38" s="165"/>
      <c r="V38" s="166"/>
      <c r="W38" s="223"/>
      <c r="X38" s="169"/>
      <c r="Y38" s="169"/>
      <c r="Z38" s="169"/>
      <c r="AA38" s="223"/>
      <c r="AB38" s="169"/>
      <c r="AC38" s="169"/>
    </row>
    <row r="39" spans="1:29" ht="27" customHeight="1" x14ac:dyDescent="0.35">
      <c r="A39" s="35" t="s">
        <v>60</v>
      </c>
      <c r="B39" s="151" t="s">
        <v>61</v>
      </c>
      <c r="C39" s="164"/>
      <c r="D39" s="165"/>
      <c r="E39" s="166"/>
      <c r="F39" s="223"/>
      <c r="G39" s="219"/>
      <c r="H39" s="164"/>
      <c r="I39" s="164"/>
      <c r="J39" s="165"/>
      <c r="K39" s="166"/>
      <c r="L39" s="223"/>
      <c r="M39" s="169"/>
      <c r="N39" s="170"/>
      <c r="O39" s="170"/>
      <c r="P39" s="169"/>
      <c r="Q39" s="223"/>
      <c r="R39" s="169"/>
      <c r="S39" s="170"/>
      <c r="T39" s="164"/>
      <c r="U39" s="165"/>
      <c r="V39" s="166"/>
      <c r="W39" s="223"/>
      <c r="X39" s="169"/>
      <c r="Y39" s="169"/>
      <c r="Z39" s="169"/>
      <c r="AA39" s="223"/>
      <c r="AB39" s="169"/>
      <c r="AC39" s="169"/>
    </row>
    <row r="40" spans="1:29" ht="27" customHeight="1" x14ac:dyDescent="0.35">
      <c r="A40" s="35" t="s">
        <v>62</v>
      </c>
      <c r="B40" s="151" t="s">
        <v>63</v>
      </c>
      <c r="C40" s="164"/>
      <c r="D40" s="165"/>
      <c r="E40" s="166"/>
      <c r="F40" s="223"/>
      <c r="G40" s="197"/>
      <c r="H40" s="164"/>
      <c r="I40" s="164"/>
      <c r="J40" s="165"/>
      <c r="K40" s="166"/>
      <c r="L40" s="223"/>
      <c r="M40" s="169"/>
      <c r="N40" s="170"/>
      <c r="O40" s="170"/>
      <c r="P40" s="169"/>
      <c r="Q40" s="223"/>
      <c r="R40" s="169"/>
      <c r="S40" s="170"/>
      <c r="T40" s="164"/>
      <c r="U40" s="165"/>
      <c r="V40" s="166"/>
      <c r="W40" s="223"/>
      <c r="X40" s="169"/>
      <c r="Y40" s="169"/>
      <c r="Z40" s="169"/>
      <c r="AA40" s="223"/>
      <c r="AB40" s="169"/>
      <c r="AC40" s="169"/>
    </row>
    <row r="41" spans="1:29" ht="27" customHeight="1" x14ac:dyDescent="0.35">
      <c r="A41" s="35" t="s">
        <v>64</v>
      </c>
      <c r="B41" s="151" t="s">
        <v>65</v>
      </c>
      <c r="C41" s="197"/>
      <c r="D41" s="165"/>
      <c r="E41" s="166"/>
      <c r="F41" s="225"/>
      <c r="G41" s="197"/>
      <c r="H41" s="197"/>
      <c r="I41" s="197"/>
      <c r="J41" s="165"/>
      <c r="K41" s="166"/>
      <c r="L41" s="225"/>
      <c r="M41" s="197"/>
      <c r="N41" s="197"/>
      <c r="O41" s="197"/>
      <c r="P41" s="197"/>
      <c r="Q41" s="225"/>
      <c r="R41" s="169"/>
      <c r="S41" s="170"/>
      <c r="T41" s="197"/>
      <c r="U41" s="165"/>
      <c r="V41" s="166"/>
      <c r="W41" s="223"/>
      <c r="X41" s="169"/>
      <c r="Y41" s="169"/>
      <c r="Z41" s="169"/>
      <c r="AA41" s="223"/>
      <c r="AB41" s="169"/>
      <c r="AC41" s="169"/>
    </row>
    <row r="42" spans="1:29" ht="27" customHeight="1" x14ac:dyDescent="0.35">
      <c r="A42" s="35" t="s">
        <v>66</v>
      </c>
      <c r="B42" s="151" t="s">
        <v>67</v>
      </c>
      <c r="C42" s="164"/>
      <c r="D42" s="165"/>
      <c r="E42" s="166"/>
      <c r="F42" s="223"/>
      <c r="G42" s="172"/>
      <c r="H42" s="164"/>
      <c r="I42" s="164"/>
      <c r="J42" s="165"/>
      <c r="K42" s="166"/>
      <c r="L42" s="223"/>
      <c r="M42" s="169"/>
      <c r="N42" s="170"/>
      <c r="O42" s="170"/>
      <c r="P42" s="169"/>
      <c r="Q42" s="223"/>
      <c r="R42" s="169"/>
      <c r="S42" s="170"/>
      <c r="T42" s="164"/>
      <c r="U42" s="165"/>
      <c r="V42" s="166"/>
      <c r="W42" s="223"/>
      <c r="X42" s="169"/>
      <c r="Y42" s="169"/>
      <c r="Z42" s="169"/>
      <c r="AA42" s="223"/>
      <c r="AB42" s="169"/>
      <c r="AC42" s="169"/>
    </row>
    <row r="43" spans="1:29" ht="14.5" customHeight="1" x14ac:dyDescent="0.35">
      <c r="B43" s="147"/>
      <c r="C43" s="197"/>
      <c r="D43" s="165"/>
      <c r="E43" s="166"/>
      <c r="F43" s="197"/>
      <c r="G43" s="197"/>
      <c r="H43" s="197"/>
      <c r="I43" s="197"/>
      <c r="J43" s="165"/>
      <c r="K43" s="166"/>
      <c r="L43" s="197"/>
      <c r="M43" s="197"/>
      <c r="N43" s="197"/>
      <c r="O43" s="197"/>
      <c r="P43" s="197"/>
      <c r="Q43" s="197"/>
      <c r="R43" s="169"/>
      <c r="S43" s="170"/>
      <c r="T43" s="197"/>
      <c r="U43" s="165"/>
      <c r="V43" s="166"/>
      <c r="W43" s="169"/>
      <c r="X43" s="169"/>
      <c r="Y43" s="169"/>
      <c r="Z43" s="169"/>
      <c r="AA43" s="169"/>
      <c r="AB43" s="169"/>
      <c r="AC43" s="169"/>
    </row>
    <row r="44" spans="1:29" ht="27" customHeight="1" x14ac:dyDescent="0.35">
      <c r="B44" s="35" t="s">
        <v>68</v>
      </c>
      <c r="F44" s="225"/>
      <c r="L44" s="225"/>
      <c r="Q44" s="225"/>
      <c r="W44" s="223"/>
      <c r="AA44" s="223"/>
    </row>
  </sheetData>
  <pageMargins left="0.5" right="0.5" top="0.75" bottom="0.75" header="0.3" footer="0.3"/>
  <pageSetup scale="49" orientation="landscape" r:id="rId1"/>
  <headerFooter>
    <oddHeader>&amp;C&amp;"Times New Roman,Regular"&amp;18 &amp;"Times New Roman,Bold"&amp;20 2025&amp;"Times New Roman,Regular"&amp;18 Compensation Worksheet for Ministers
NO Parsonage - Housing Allowance Provided</oddHeader>
    <oddFooter xml:space="preserve">&amp;LPortico Benefit Services:  1-800-352-2876 (M-F)
https://porticobenefits.org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23EB9-0EF0-4443-B764-27CD6FECC380}">
  <sheetPr>
    <pageSetUpPr fitToPage="1"/>
  </sheetPr>
  <dimension ref="A2:AT50"/>
  <sheetViews>
    <sheetView view="pageLayout" zoomScale="40" zoomScaleNormal="60" zoomScalePageLayoutView="40" workbookViewId="0">
      <selection activeCell="M55" sqref="M55"/>
    </sheetView>
  </sheetViews>
  <sheetFormatPr defaultColWidth="9.1796875" defaultRowHeight="17.5" x14ac:dyDescent="0.35"/>
  <cols>
    <col min="1" max="1" width="9.1796875" style="35"/>
    <col min="2" max="2" width="49.26953125" style="36" customWidth="1"/>
    <col min="3" max="3" width="3.54296875" style="44" customWidth="1"/>
    <col min="4" max="4" width="19.54296875" style="36" customWidth="1"/>
    <col min="5" max="5" width="1.54296875" style="36" customWidth="1"/>
    <col min="6" max="6" width="12.1796875" style="64" customWidth="1"/>
    <col min="7" max="7" width="2.54296875" style="65" customWidth="1"/>
    <col min="8" max="8" width="1.81640625" style="58" customWidth="1"/>
    <col min="9" max="9" width="2.54296875" style="65" customWidth="1"/>
    <col min="10" max="10" width="19.54296875" style="36" customWidth="1"/>
    <col min="11" max="11" width="1.81640625" style="36" customWidth="1"/>
    <col min="12" max="12" width="10.453125" style="39" hidden="1" customWidth="1"/>
    <col min="13" max="13" width="11.1796875" style="40" customWidth="1"/>
    <col min="14" max="14" width="5.54296875" style="36" customWidth="1"/>
    <col min="15" max="15" width="19.54296875" style="36" customWidth="1"/>
    <col min="16" max="16" width="1.81640625" style="36" customWidth="1"/>
    <col min="17" max="17" width="11.1796875" style="40" customWidth="1"/>
    <col min="18" max="18" width="2.453125" style="40" customWidth="1"/>
    <col min="19" max="19" width="5.54296875" style="41" customWidth="1"/>
    <col min="20" max="20" width="1.7265625" style="36" customWidth="1"/>
    <col min="21" max="21" width="19.54296875" style="36" customWidth="1"/>
    <col min="22" max="22" width="1.81640625" style="36" customWidth="1"/>
    <col min="23" max="23" width="11.1796875" style="42" customWidth="1"/>
    <col min="24" max="24" width="5.54296875" style="36" customWidth="1"/>
    <col min="25" max="25" width="19.54296875" style="36" customWidth="1"/>
    <col min="26" max="26" width="1.81640625" style="36" customWidth="1"/>
    <col min="27" max="27" width="11.1796875" style="42" customWidth="1"/>
    <col min="28" max="16384" width="9.1796875" style="36"/>
  </cols>
  <sheetData>
    <row r="2" spans="1:46" ht="41.15" customHeight="1" x14ac:dyDescent="0.55000000000000004">
      <c r="B2" s="306" t="s">
        <v>112</v>
      </c>
      <c r="C2" s="306"/>
      <c r="D2" s="306"/>
      <c r="F2" s="37"/>
      <c r="G2" s="38"/>
      <c r="H2" s="36"/>
      <c r="I2" s="38"/>
    </row>
    <row r="3" spans="1:46" ht="93.65" customHeight="1" x14ac:dyDescent="0.45">
      <c r="C3" s="36"/>
      <c r="F3" s="36"/>
      <c r="G3" s="36"/>
      <c r="H3" s="36"/>
      <c r="I3" s="36"/>
      <c r="J3" s="308" t="s">
        <v>115</v>
      </c>
      <c r="K3" s="308"/>
      <c r="L3" s="308"/>
      <c r="M3" s="308"/>
      <c r="N3" s="308"/>
      <c r="O3" s="308"/>
      <c r="P3" s="308"/>
      <c r="Q3" s="308"/>
      <c r="R3" s="43"/>
      <c r="U3" s="307" t="s">
        <v>113</v>
      </c>
      <c r="V3" s="307"/>
      <c r="W3" s="307"/>
      <c r="Y3" s="307" t="s">
        <v>114</v>
      </c>
      <c r="Z3" s="307"/>
      <c r="AA3" s="307"/>
    </row>
    <row r="4" spans="1:46" ht="17.5" customHeight="1" x14ac:dyDescent="0.45">
      <c r="C4" s="36"/>
      <c r="F4" s="36"/>
      <c r="G4" s="36"/>
      <c r="H4" s="36"/>
      <c r="I4" s="36"/>
      <c r="J4" s="308"/>
      <c r="K4" s="308"/>
      <c r="L4" s="308"/>
      <c r="M4" s="308"/>
      <c r="N4" s="308"/>
      <c r="O4" s="308"/>
      <c r="P4" s="308"/>
      <c r="Q4" s="308"/>
      <c r="R4" s="43"/>
      <c r="U4" s="307"/>
      <c r="V4" s="307"/>
      <c r="W4" s="307"/>
      <c r="Y4" s="307"/>
      <c r="Z4" s="307"/>
      <c r="AA4" s="307"/>
    </row>
    <row r="5" spans="1:46" x14ac:dyDescent="0.35">
      <c r="A5" s="36"/>
      <c r="F5" s="45"/>
      <c r="G5" s="46"/>
      <c r="H5" s="36"/>
      <c r="I5" s="46"/>
      <c r="M5" s="42"/>
      <c r="Q5" s="42"/>
      <c r="R5" s="42"/>
      <c r="W5" s="36"/>
    </row>
    <row r="6" spans="1:46" ht="20.25" customHeight="1" x14ac:dyDescent="0.45">
      <c r="A6" s="47"/>
      <c r="B6" s="44" t="s">
        <v>16</v>
      </c>
      <c r="C6" s="47"/>
      <c r="D6" s="127">
        <v>2008</v>
      </c>
      <c r="E6" s="47"/>
      <c r="F6" s="48"/>
      <c r="G6" s="49"/>
      <c r="H6" s="47"/>
      <c r="I6" s="49"/>
      <c r="J6" s="47"/>
      <c r="K6" s="47"/>
      <c r="L6" s="47"/>
      <c r="M6" s="50"/>
      <c r="O6" s="51"/>
      <c r="P6" s="51"/>
      <c r="Q6" s="52"/>
      <c r="R6" s="52"/>
      <c r="U6" s="135">
        <v>2020</v>
      </c>
      <c r="V6" s="51"/>
      <c r="W6" s="52"/>
      <c r="Y6" s="136">
        <v>2015</v>
      </c>
      <c r="Z6" s="51"/>
      <c r="AA6" s="52"/>
    </row>
    <row r="7" spans="1:46" ht="20.25" customHeight="1" x14ac:dyDescent="0.45">
      <c r="A7" s="47"/>
      <c r="B7" s="44" t="s">
        <v>17</v>
      </c>
      <c r="C7" s="47"/>
      <c r="D7" s="128">
        <v>50</v>
      </c>
      <c r="E7" s="47"/>
      <c r="F7" s="48"/>
      <c r="G7" s="49"/>
      <c r="H7" s="47"/>
      <c r="I7" s="49"/>
      <c r="J7" s="47"/>
      <c r="K7" s="47"/>
      <c r="L7" s="47"/>
      <c r="M7" s="50"/>
      <c r="O7" s="51"/>
      <c r="P7" s="51"/>
      <c r="Q7" s="52"/>
      <c r="R7" s="52"/>
      <c r="U7" s="137" t="s">
        <v>97</v>
      </c>
      <c r="V7" s="51"/>
      <c r="W7" s="52"/>
      <c r="Y7" s="128">
        <v>50</v>
      </c>
      <c r="Z7" s="51"/>
      <c r="AA7" s="52"/>
    </row>
    <row r="8" spans="1:46" ht="50" x14ac:dyDescent="0.5">
      <c r="C8" s="53"/>
      <c r="D8" s="54" t="s">
        <v>18</v>
      </c>
      <c r="E8" s="55"/>
      <c r="F8" s="56" t="s">
        <v>19</v>
      </c>
      <c r="G8" s="57"/>
      <c r="I8" s="57"/>
      <c r="J8" s="54" t="s">
        <v>98</v>
      </c>
      <c r="L8" s="59" t="s">
        <v>21</v>
      </c>
      <c r="M8" s="60" t="s">
        <v>22</v>
      </c>
      <c r="O8" s="54" t="s">
        <v>99</v>
      </c>
      <c r="Q8" s="60" t="s">
        <v>24</v>
      </c>
      <c r="R8" s="61"/>
      <c r="U8" s="54" t="s">
        <v>100</v>
      </c>
      <c r="W8" s="62" t="s">
        <v>101</v>
      </c>
      <c r="Y8" s="54" t="s">
        <v>102</v>
      </c>
      <c r="AA8" s="62" t="s">
        <v>103</v>
      </c>
    </row>
    <row r="9" spans="1:46" ht="30" customHeight="1" x14ac:dyDescent="0.4">
      <c r="B9" s="63" t="s">
        <v>28</v>
      </c>
    </row>
    <row r="10" spans="1:46" ht="24" customHeight="1" x14ac:dyDescent="0.5">
      <c r="A10" s="35" t="s">
        <v>29</v>
      </c>
      <c r="B10" s="50" t="s">
        <v>30</v>
      </c>
      <c r="C10" s="66"/>
      <c r="D10" s="129">
        <v>46625</v>
      </c>
      <c r="E10" s="67"/>
      <c r="F10" s="68">
        <f>D10/12</f>
        <v>3885.4166666666665</v>
      </c>
      <c r="G10" s="69"/>
      <c r="H10" s="70"/>
      <c r="I10" s="69"/>
      <c r="J10" s="132">
        <f>VLOOKUP($D$6,'2025 Minister Salary Table'!$B4:$E44,2,FALSE)</f>
        <v>55734.951763927478</v>
      </c>
      <c r="K10" s="71"/>
      <c r="L10" s="72">
        <f>J10-D10</f>
        <v>9109.9517639274782</v>
      </c>
      <c r="M10" s="72">
        <f>J10/12</f>
        <v>4644.5793136606235</v>
      </c>
      <c r="N10" s="71"/>
      <c r="O10" s="132">
        <f>VLOOKUP($D$6,'2025 Minister Salary Table'!$B4:$E44,4,FALSE)</f>
        <v>57590.507645528029</v>
      </c>
      <c r="P10" s="71"/>
      <c r="Q10" s="72">
        <f>O10/12</f>
        <v>4799.2089704606688</v>
      </c>
      <c r="R10" s="72"/>
      <c r="S10" s="73"/>
      <c r="T10" s="71"/>
      <c r="U10" s="138">
        <f>VLOOKUP($U$6,'2025 Minister Salary Table'!$B4:$E44,2,FALSE)</f>
        <v>47136.268849022046</v>
      </c>
      <c r="V10" s="71"/>
      <c r="W10" s="71">
        <f>U10/12</f>
        <v>3928.0224040851704</v>
      </c>
      <c r="X10" s="71"/>
      <c r="Y10" s="140">
        <f>VLOOKUP($Y$6,'2025 Minister Salary Table'!$B4:$E44,4,FALSE)</f>
        <v>52726.035471936848</v>
      </c>
      <c r="Z10" s="71"/>
      <c r="AA10" s="71">
        <f>Y10/12</f>
        <v>4393.836289328071</v>
      </c>
    </row>
    <row r="11" spans="1:46" ht="6" customHeight="1" x14ac:dyDescent="0.4">
      <c r="B11" s="74"/>
      <c r="C11" s="66"/>
      <c r="D11" s="75"/>
      <c r="E11" s="75"/>
      <c r="F11" s="68"/>
      <c r="G11" s="69"/>
      <c r="H11" s="70"/>
      <c r="I11" s="69"/>
      <c r="J11" s="75"/>
      <c r="K11" s="71"/>
      <c r="L11" s="72"/>
      <c r="M11" s="72"/>
      <c r="N11" s="71"/>
      <c r="O11" s="75"/>
      <c r="P11" s="71"/>
      <c r="Q11" s="72"/>
      <c r="R11" s="72"/>
      <c r="S11" s="73"/>
      <c r="T11" s="71"/>
      <c r="U11" s="75"/>
      <c r="V11" s="71"/>
      <c r="W11" s="71"/>
      <c r="X11" s="71"/>
      <c r="Y11" s="75"/>
      <c r="Z11" s="71"/>
      <c r="AA11" s="71"/>
    </row>
    <row r="12" spans="1:46" ht="24" customHeight="1" x14ac:dyDescent="0.4">
      <c r="A12" s="35" t="s">
        <v>31</v>
      </c>
      <c r="B12" s="50" t="s">
        <v>104</v>
      </c>
      <c r="C12" s="66"/>
      <c r="D12" s="130">
        <v>12000</v>
      </c>
      <c r="E12" s="75"/>
      <c r="F12" s="68">
        <f>D12/12</f>
        <v>1000</v>
      </c>
      <c r="G12" s="69"/>
      <c r="H12" s="70"/>
      <c r="I12" s="69"/>
      <c r="J12" s="133">
        <f>J10*$D7/100</f>
        <v>27867.475881963739</v>
      </c>
      <c r="K12" s="71"/>
      <c r="L12" s="72">
        <f>J12-D12</f>
        <v>15867.475881963739</v>
      </c>
      <c r="M12" s="72">
        <f>J12/12</f>
        <v>2322.2896568303117</v>
      </c>
      <c r="N12" s="71"/>
      <c r="O12" s="133">
        <f>O10*$D7/100</f>
        <v>28795.253822764014</v>
      </c>
      <c r="P12" s="71"/>
      <c r="Q12" s="72">
        <f>O12/12</f>
        <v>2399.6044852303344</v>
      </c>
      <c r="R12" s="72"/>
      <c r="S12" s="73"/>
      <c r="T12" s="71"/>
      <c r="U12" s="139">
        <v>18000</v>
      </c>
      <c r="V12" s="71"/>
      <c r="W12" s="71">
        <f>U12/12</f>
        <v>1500</v>
      </c>
      <c r="X12" s="71"/>
      <c r="Y12" s="133">
        <f>Y10*$Y7/100</f>
        <v>26363.017735968424</v>
      </c>
      <c r="Z12" s="71"/>
      <c r="AA12" s="71">
        <f>Y12/12</f>
        <v>2196.9181446640355</v>
      </c>
    </row>
    <row r="13" spans="1:46" ht="16.5" customHeight="1" x14ac:dyDescent="0.45">
      <c r="B13" s="77" t="s">
        <v>32</v>
      </c>
      <c r="C13" s="78"/>
      <c r="D13" s="79"/>
      <c r="E13" s="80"/>
      <c r="F13" s="68"/>
      <c r="G13" s="69"/>
      <c r="H13" s="70"/>
      <c r="I13" s="69"/>
      <c r="J13" s="80"/>
      <c r="K13" s="71"/>
      <c r="L13" s="72"/>
      <c r="M13" s="72"/>
      <c r="N13" s="71"/>
      <c r="O13" s="80"/>
      <c r="P13" s="71"/>
      <c r="Q13" s="72"/>
      <c r="R13" s="72"/>
      <c r="S13" s="73"/>
      <c r="T13" s="71"/>
      <c r="U13" s="80"/>
      <c r="V13" s="71"/>
      <c r="W13" s="71"/>
      <c r="X13" s="71"/>
      <c r="Y13" s="80"/>
      <c r="Z13" s="71"/>
      <c r="AA13" s="7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</row>
    <row r="14" spans="1:46" ht="6" customHeight="1" x14ac:dyDescent="0.35">
      <c r="B14" s="77"/>
      <c r="C14" s="78"/>
      <c r="D14" s="79"/>
      <c r="E14" s="80"/>
      <c r="F14" s="68"/>
      <c r="G14" s="69"/>
      <c r="H14" s="70"/>
      <c r="I14" s="69"/>
      <c r="J14" s="80"/>
      <c r="K14" s="71"/>
      <c r="L14" s="72"/>
      <c r="M14" s="72"/>
      <c r="N14" s="71"/>
      <c r="O14" s="80"/>
      <c r="P14" s="71"/>
      <c r="Q14" s="72"/>
      <c r="R14" s="72"/>
      <c r="S14" s="73"/>
      <c r="T14" s="71"/>
      <c r="U14" s="80"/>
      <c r="V14" s="71"/>
      <c r="W14" s="71"/>
      <c r="X14" s="71"/>
      <c r="Y14" s="80"/>
      <c r="Z14" s="71"/>
      <c r="AA14" s="71"/>
    </row>
    <row r="15" spans="1:46" ht="24" customHeight="1" x14ac:dyDescent="0.4">
      <c r="A15" s="35" t="s">
        <v>33</v>
      </c>
      <c r="B15" s="50" t="s">
        <v>34</v>
      </c>
      <c r="C15" s="78"/>
      <c r="D15" s="130">
        <v>0</v>
      </c>
      <c r="E15" s="80"/>
      <c r="F15" s="68">
        <f>D15/12</f>
        <v>0</v>
      </c>
      <c r="G15" s="69"/>
      <c r="H15" s="70"/>
      <c r="I15" s="69"/>
      <c r="J15" s="130"/>
      <c r="K15" s="71"/>
      <c r="L15" s="72"/>
      <c r="M15" s="72">
        <f>J15/12</f>
        <v>0</v>
      </c>
      <c r="N15" s="71"/>
      <c r="O15" s="76">
        <v>0</v>
      </c>
      <c r="P15" s="71"/>
      <c r="Q15" s="72">
        <f>O15/12</f>
        <v>0</v>
      </c>
      <c r="R15" s="72"/>
      <c r="S15" s="73"/>
      <c r="T15" s="71"/>
      <c r="U15" s="130"/>
      <c r="V15" s="71"/>
      <c r="W15" s="71">
        <f>U15/12</f>
        <v>0</v>
      </c>
      <c r="X15" s="71"/>
      <c r="Y15" s="273">
        <v>2000</v>
      </c>
      <c r="Z15" s="71"/>
      <c r="AA15" s="71">
        <f>Y15/12</f>
        <v>166.66666666666666</v>
      </c>
    </row>
    <row r="16" spans="1:46" ht="6" customHeight="1" x14ac:dyDescent="0.35">
      <c r="C16" s="78"/>
      <c r="D16" s="79"/>
      <c r="E16" s="80"/>
      <c r="F16" s="68"/>
      <c r="G16" s="69"/>
      <c r="H16" s="70"/>
      <c r="I16" s="69"/>
      <c r="J16" s="80"/>
      <c r="K16" s="71"/>
      <c r="L16" s="72"/>
      <c r="M16" s="72"/>
      <c r="N16" s="71"/>
      <c r="O16" s="80"/>
      <c r="P16" s="71"/>
      <c r="Q16" s="72"/>
      <c r="R16" s="72"/>
      <c r="S16" s="73"/>
      <c r="T16" s="71"/>
      <c r="U16" s="80"/>
      <c r="V16" s="71"/>
      <c r="W16" s="71"/>
      <c r="X16" s="71"/>
      <c r="Y16" s="80"/>
      <c r="Z16" s="71"/>
      <c r="AA16" s="71"/>
    </row>
    <row r="17" spans="1:27" ht="24" customHeight="1" x14ac:dyDescent="0.4">
      <c r="A17" s="35" t="s">
        <v>35</v>
      </c>
      <c r="B17" s="50" t="s">
        <v>36</v>
      </c>
      <c r="C17" s="66"/>
      <c r="D17" s="75">
        <f>(D10+D12+D15)*7.65%</f>
        <v>4484.8125</v>
      </c>
      <c r="E17" s="75"/>
      <c r="F17" s="68">
        <f>D17/12</f>
        <v>373.734375</v>
      </c>
      <c r="G17" s="69"/>
      <c r="H17" s="70"/>
      <c r="I17" s="69"/>
      <c r="J17" s="75">
        <f>(J10+J12+J15)*7.65%</f>
        <v>6395.5857149106787</v>
      </c>
      <c r="K17" s="71"/>
      <c r="L17" s="72">
        <f>J17-D17</f>
        <v>1910.7732149106787</v>
      </c>
      <c r="M17" s="72">
        <f>J17/12</f>
        <v>532.96547624255652</v>
      </c>
      <c r="N17" s="71"/>
      <c r="O17" s="75">
        <f>(O10+O12+O15)*7.65%</f>
        <v>6608.5107523243405</v>
      </c>
      <c r="P17" s="71"/>
      <c r="Q17" s="72">
        <f>O17/12</f>
        <v>550.70922936036175</v>
      </c>
      <c r="R17" s="72"/>
      <c r="S17" s="73"/>
      <c r="T17" s="71"/>
      <c r="U17" s="75">
        <f>(U10+U12+U15)*7.65%</f>
        <v>4982.9245669501861</v>
      </c>
      <c r="V17" s="71"/>
      <c r="W17" s="71">
        <f>U17/12</f>
        <v>415.24371391251549</v>
      </c>
      <c r="X17" s="71"/>
      <c r="Y17" s="75">
        <f>(Y10+Y12+Y15)*7.65%</f>
        <v>6203.3125704047525</v>
      </c>
      <c r="Z17" s="71"/>
      <c r="AA17" s="71">
        <f>Y17/12</f>
        <v>516.94271420039604</v>
      </c>
    </row>
    <row r="18" spans="1:27" s="88" customFormat="1" ht="18" x14ac:dyDescent="0.4">
      <c r="A18" s="35"/>
      <c r="B18" s="82" t="s">
        <v>37</v>
      </c>
      <c r="C18" s="66"/>
      <c r="D18" s="83"/>
      <c r="E18" s="83"/>
      <c r="F18" s="84"/>
      <c r="G18" s="69"/>
      <c r="H18" s="70"/>
      <c r="I18" s="69"/>
      <c r="J18" s="83"/>
      <c r="K18" s="85"/>
      <c r="L18" s="86"/>
      <c r="M18" s="86"/>
      <c r="N18" s="85"/>
      <c r="O18" s="83"/>
      <c r="P18" s="85"/>
      <c r="Q18" s="86"/>
      <c r="R18" s="86"/>
      <c r="S18" s="87"/>
      <c r="T18" s="85"/>
      <c r="U18" s="83"/>
      <c r="V18" s="85"/>
      <c r="W18" s="85"/>
      <c r="X18" s="85"/>
      <c r="Y18" s="83"/>
      <c r="Z18" s="85"/>
      <c r="AA18" s="85"/>
    </row>
    <row r="19" spans="1:27" s="97" customFormat="1" ht="36" x14ac:dyDescent="0.45">
      <c r="A19" s="36" t="s">
        <v>38</v>
      </c>
      <c r="B19" s="89" t="s">
        <v>39</v>
      </c>
      <c r="C19" s="74"/>
      <c r="D19" s="90">
        <f>SUM(D10:D18)</f>
        <v>63109.8125</v>
      </c>
      <c r="E19" s="90"/>
      <c r="F19" s="91">
        <f>D19/12</f>
        <v>5259.151041666667</v>
      </c>
      <c r="G19" s="69"/>
      <c r="H19" s="70"/>
      <c r="I19" s="69"/>
      <c r="J19" s="90">
        <f>SUM(J10:J18)</f>
        <v>89998.013360801895</v>
      </c>
      <c r="K19" s="92"/>
      <c r="L19" s="93">
        <f>J19-D19</f>
        <v>26888.200860801895</v>
      </c>
      <c r="M19" s="93">
        <f>J19/12</f>
        <v>7499.8344467334909</v>
      </c>
      <c r="N19" s="92"/>
      <c r="O19" s="90">
        <f>SUM(O10:O18)</f>
        <v>92994.272220616374</v>
      </c>
      <c r="P19" s="92"/>
      <c r="Q19" s="93">
        <f>O19/12</f>
        <v>7749.5226850513645</v>
      </c>
      <c r="R19" s="93"/>
      <c r="S19" s="94"/>
      <c r="T19" s="92"/>
      <c r="U19" s="95">
        <f>SUM(U10:U18)</f>
        <v>70119.19341597223</v>
      </c>
      <c r="V19" s="96"/>
      <c r="W19" s="92">
        <f>U19/12</f>
        <v>5843.2661179976858</v>
      </c>
      <c r="X19" s="92"/>
      <c r="Y19" s="95">
        <f>SUM(Y10:Y18)</f>
        <v>87292.365778310021</v>
      </c>
      <c r="Z19" s="96"/>
      <c r="AA19" s="92">
        <f>Y19/12</f>
        <v>7274.3638148591681</v>
      </c>
    </row>
    <row r="20" spans="1:27" ht="30" customHeight="1" x14ac:dyDescent="0.45">
      <c r="B20" s="50"/>
      <c r="C20" s="66"/>
      <c r="D20" s="98"/>
      <c r="E20" s="98"/>
      <c r="F20" s="68"/>
      <c r="G20" s="69"/>
      <c r="H20" s="70"/>
      <c r="I20" s="69"/>
      <c r="J20" s="98"/>
      <c r="K20" s="71"/>
      <c r="L20" s="72"/>
      <c r="M20" s="72"/>
      <c r="N20" s="71"/>
      <c r="O20" s="98"/>
      <c r="P20" s="71"/>
      <c r="Q20" s="72"/>
      <c r="R20" s="72"/>
      <c r="S20" s="73"/>
      <c r="T20" s="71"/>
      <c r="U20" s="98"/>
      <c r="V20" s="71"/>
      <c r="W20" s="71"/>
      <c r="X20" s="71"/>
      <c r="Y20" s="98"/>
      <c r="Z20" s="71"/>
      <c r="AA20" s="71"/>
    </row>
    <row r="21" spans="1:27" ht="30" customHeight="1" x14ac:dyDescent="0.45">
      <c r="B21" s="63" t="s">
        <v>40</v>
      </c>
      <c r="C21" s="66"/>
      <c r="D21" s="98"/>
      <c r="E21" s="98"/>
      <c r="F21" s="68"/>
      <c r="G21" s="69"/>
      <c r="H21" s="70"/>
      <c r="I21" s="69"/>
      <c r="J21" s="98"/>
      <c r="K21" s="71"/>
      <c r="L21" s="72"/>
      <c r="M21" s="72"/>
      <c r="N21" s="71"/>
      <c r="O21" s="98"/>
      <c r="P21" s="71"/>
      <c r="Q21" s="72"/>
      <c r="R21" s="72"/>
      <c r="S21" s="73"/>
      <c r="T21" s="71"/>
      <c r="U21" s="98"/>
      <c r="V21" s="71"/>
      <c r="W21" s="71"/>
      <c r="X21" s="71"/>
      <c r="Y21" s="98"/>
      <c r="Z21" s="71"/>
      <c r="AA21" s="71"/>
    </row>
    <row r="22" spans="1:27" ht="24" customHeight="1" x14ac:dyDescent="0.45">
      <c r="A22" s="35" t="s">
        <v>41</v>
      </c>
      <c r="B22" s="50" t="s">
        <v>42</v>
      </c>
      <c r="C22" s="66"/>
      <c r="D22" s="130"/>
      <c r="E22" s="98"/>
      <c r="F22" s="68"/>
      <c r="G22" s="69"/>
      <c r="H22" s="70"/>
      <c r="I22" s="69"/>
      <c r="J22" s="130"/>
      <c r="K22" s="71"/>
      <c r="L22" s="72"/>
      <c r="M22" s="72"/>
      <c r="N22" s="71"/>
      <c r="O22" s="130"/>
      <c r="P22" s="71"/>
      <c r="Q22" s="72"/>
      <c r="R22" s="72"/>
      <c r="S22" s="73"/>
      <c r="T22" s="71"/>
      <c r="U22" s="130"/>
      <c r="V22" s="71"/>
      <c r="W22" s="71">
        <f>U22/12</f>
        <v>0</v>
      </c>
      <c r="X22" s="71"/>
      <c r="Y22" s="130"/>
      <c r="Z22" s="71"/>
      <c r="AA22" s="71">
        <f>Y22/12</f>
        <v>0</v>
      </c>
    </row>
    <row r="23" spans="1:27" ht="6" customHeight="1" x14ac:dyDescent="0.45">
      <c r="B23" s="50"/>
      <c r="C23" s="66"/>
      <c r="D23" s="98"/>
      <c r="E23" s="98"/>
      <c r="F23" s="68"/>
      <c r="G23" s="69"/>
      <c r="H23" s="70"/>
      <c r="I23" s="69"/>
      <c r="J23" s="98"/>
      <c r="K23" s="71"/>
      <c r="L23" s="72"/>
      <c r="M23" s="72"/>
      <c r="N23" s="71"/>
      <c r="O23" s="134"/>
      <c r="P23" s="71"/>
      <c r="Q23" s="72"/>
      <c r="R23" s="72"/>
      <c r="S23" s="73"/>
      <c r="T23" s="71"/>
      <c r="U23" s="98"/>
      <c r="V23" s="71"/>
      <c r="W23" s="71"/>
      <c r="X23" s="71"/>
      <c r="Y23" s="98"/>
      <c r="Z23" s="71"/>
      <c r="AA23" s="71"/>
    </row>
    <row r="24" spans="1:27" s="88" customFormat="1" ht="24" customHeight="1" x14ac:dyDescent="0.45">
      <c r="A24" s="35" t="s">
        <v>43</v>
      </c>
      <c r="B24" s="99" t="s">
        <v>44</v>
      </c>
      <c r="C24" s="66"/>
      <c r="D24" s="130"/>
      <c r="E24" s="100"/>
      <c r="F24" s="84"/>
      <c r="G24" s="69"/>
      <c r="H24" s="70"/>
      <c r="I24" s="69"/>
      <c r="J24" s="130"/>
      <c r="K24" s="85"/>
      <c r="L24" s="86"/>
      <c r="M24" s="86"/>
      <c r="N24" s="85"/>
      <c r="O24" s="130"/>
      <c r="P24" s="85"/>
      <c r="Q24" s="86"/>
      <c r="R24" s="86"/>
      <c r="S24" s="87"/>
      <c r="T24" s="85"/>
      <c r="U24" s="130"/>
      <c r="V24" s="71"/>
      <c r="W24" s="71">
        <f>U24/12</f>
        <v>0</v>
      </c>
      <c r="X24" s="85"/>
      <c r="Y24" s="130"/>
      <c r="Z24" s="71"/>
      <c r="AA24" s="71">
        <f>Y24/12</f>
        <v>0</v>
      </c>
    </row>
    <row r="25" spans="1:27" s="97" customFormat="1" x14ac:dyDescent="0.35">
      <c r="A25" s="36" t="s">
        <v>45</v>
      </c>
      <c r="B25" s="89" t="s">
        <v>46</v>
      </c>
      <c r="C25" s="74"/>
      <c r="D25" s="90">
        <f>SUM(D22:D24)</f>
        <v>0</v>
      </c>
      <c r="E25" s="90"/>
      <c r="F25" s="91">
        <f>D25/12</f>
        <v>0</v>
      </c>
      <c r="G25" s="69"/>
      <c r="H25" s="70"/>
      <c r="I25" s="69"/>
      <c r="J25" s="90">
        <f>SUM(J22:J24)</f>
        <v>0</v>
      </c>
      <c r="K25" s="92"/>
      <c r="L25" s="93">
        <f>J25-D25</f>
        <v>0</v>
      </c>
      <c r="M25" s="93">
        <f>J25/12</f>
        <v>0</v>
      </c>
      <c r="N25" s="92"/>
      <c r="O25" s="90">
        <f>SUM(O22:O24)</f>
        <v>0</v>
      </c>
      <c r="P25" s="92"/>
      <c r="Q25" s="93">
        <f>O25/12</f>
        <v>0</v>
      </c>
      <c r="R25" s="93"/>
      <c r="S25" s="94"/>
      <c r="T25" s="92"/>
      <c r="U25" s="90">
        <f>SUM(U22:U24)</f>
        <v>0</v>
      </c>
      <c r="V25" s="92"/>
      <c r="W25" s="92">
        <f>U25/12</f>
        <v>0</v>
      </c>
      <c r="X25" s="92"/>
      <c r="Y25" s="90">
        <f>SUM(Y22:Y24)</f>
        <v>0</v>
      </c>
      <c r="Z25" s="92"/>
      <c r="AA25" s="92">
        <f>Y25/12</f>
        <v>0</v>
      </c>
    </row>
    <row r="26" spans="1:27" ht="30" customHeight="1" x14ac:dyDescent="0.45">
      <c r="B26" s="50"/>
      <c r="C26" s="66"/>
      <c r="D26" s="98"/>
      <c r="E26" s="98"/>
      <c r="F26" s="68"/>
      <c r="G26" s="69"/>
      <c r="H26" s="70"/>
      <c r="I26" s="69"/>
      <c r="J26" s="98"/>
      <c r="K26" s="71"/>
      <c r="L26" s="72"/>
      <c r="M26" s="72"/>
      <c r="N26" s="71"/>
      <c r="O26" s="98"/>
      <c r="P26" s="71"/>
      <c r="Q26" s="72"/>
      <c r="R26" s="72"/>
      <c r="S26" s="73"/>
      <c r="T26" s="71"/>
      <c r="U26" s="71"/>
      <c r="V26" s="71"/>
      <c r="W26" s="71"/>
      <c r="X26" s="71"/>
      <c r="Y26" s="71"/>
      <c r="Z26" s="71"/>
      <c r="AA26" s="71"/>
    </row>
    <row r="27" spans="1:27" ht="18.75" hidden="1" customHeight="1" x14ac:dyDescent="0.35">
      <c r="B27" s="42"/>
      <c r="C27" s="74"/>
      <c r="D27" s="71"/>
      <c r="E27" s="71"/>
      <c r="F27" s="68"/>
      <c r="G27" s="69"/>
      <c r="H27" s="70"/>
      <c r="I27" s="69"/>
      <c r="J27" s="71"/>
      <c r="K27" s="71"/>
      <c r="L27" s="72"/>
      <c r="M27" s="72"/>
      <c r="N27" s="71"/>
      <c r="O27" s="71"/>
      <c r="P27" s="71"/>
      <c r="Q27" s="72"/>
      <c r="R27" s="72"/>
      <c r="S27" s="73"/>
      <c r="T27" s="71"/>
      <c r="U27" s="71"/>
      <c r="V27" s="71"/>
      <c r="W27" s="71"/>
      <c r="X27" s="71"/>
      <c r="Y27" s="71"/>
      <c r="Z27" s="71"/>
      <c r="AA27" s="71"/>
    </row>
    <row r="28" spans="1:27" ht="30" customHeight="1" x14ac:dyDescent="0.4">
      <c r="B28" s="101" t="s">
        <v>47</v>
      </c>
      <c r="C28" s="102"/>
      <c r="D28" s="103"/>
      <c r="E28" s="103"/>
      <c r="F28" s="68"/>
      <c r="G28" s="69"/>
      <c r="H28" s="70"/>
      <c r="I28" s="69"/>
      <c r="J28" s="103"/>
      <c r="K28" s="71"/>
      <c r="L28" s="72"/>
      <c r="M28" s="72"/>
      <c r="N28" s="71"/>
      <c r="O28" s="103"/>
      <c r="P28" s="71"/>
      <c r="Q28" s="72"/>
      <c r="R28" s="72"/>
      <c r="S28" s="73"/>
      <c r="T28" s="71"/>
      <c r="U28" s="103"/>
      <c r="V28" s="71"/>
      <c r="W28" s="71"/>
      <c r="X28" s="71"/>
      <c r="Y28" s="103"/>
      <c r="Z28" s="71"/>
      <c r="AA28" s="71"/>
    </row>
    <row r="29" spans="1:27" ht="24" customHeight="1" x14ac:dyDescent="0.4">
      <c r="A29" s="35" t="s">
        <v>48</v>
      </c>
      <c r="B29" s="50" t="s">
        <v>49</v>
      </c>
      <c r="C29" s="74"/>
      <c r="D29" s="104">
        <f>0.1*D19</f>
        <v>6310.9812500000007</v>
      </c>
      <c r="E29" s="104"/>
      <c r="F29" s="68">
        <f>D29/12</f>
        <v>525.91510416666677</v>
      </c>
      <c r="G29" s="69"/>
      <c r="H29" s="70"/>
      <c r="I29" s="69"/>
      <c r="J29" s="104">
        <f>0.1*J19</f>
        <v>8999.8013360801906</v>
      </c>
      <c r="K29" s="71"/>
      <c r="L29" s="72">
        <f>J29-D29</f>
        <v>2688.8200860801899</v>
      </c>
      <c r="M29" s="72">
        <f>J29/12</f>
        <v>749.98344467334925</v>
      </c>
      <c r="N29" s="71"/>
      <c r="O29" s="104">
        <f>0.1*O19</f>
        <v>9299.4272220616385</v>
      </c>
      <c r="P29" s="71"/>
      <c r="Q29" s="72">
        <f>O29/12</f>
        <v>774.95226850513654</v>
      </c>
      <c r="R29" s="72"/>
      <c r="S29" s="73"/>
      <c r="T29" s="71"/>
      <c r="U29" s="104">
        <f>0.1*U19</f>
        <v>7011.9193415972231</v>
      </c>
      <c r="V29" s="71"/>
      <c r="W29" s="71">
        <f>U29/12</f>
        <v>584.32661179976856</v>
      </c>
      <c r="X29" s="71"/>
      <c r="Y29" s="104">
        <f>0.1*Y19</f>
        <v>8729.2365778310032</v>
      </c>
      <c r="Z29" s="71"/>
      <c r="AA29" s="71">
        <f>Y29/12</f>
        <v>727.43638148591697</v>
      </c>
    </row>
    <row r="30" spans="1:27" ht="6" customHeight="1" x14ac:dyDescent="0.4">
      <c r="B30" s="105"/>
      <c r="C30" s="74"/>
      <c r="D30" s="104"/>
      <c r="E30" s="104"/>
      <c r="F30" s="68"/>
      <c r="G30" s="69"/>
      <c r="H30" s="70"/>
      <c r="I30" s="69"/>
      <c r="J30" s="104"/>
      <c r="K30" s="71"/>
      <c r="L30" s="72"/>
      <c r="M30" s="72"/>
      <c r="N30" s="71"/>
      <c r="O30" s="104"/>
      <c r="P30" s="71"/>
      <c r="Q30" s="72"/>
      <c r="R30" s="72"/>
      <c r="S30" s="73"/>
      <c r="T30" s="71"/>
      <c r="U30" s="104"/>
      <c r="V30" s="71"/>
      <c r="W30" s="71"/>
      <c r="X30" s="71"/>
      <c r="Y30" s="104"/>
      <c r="Z30" s="71"/>
      <c r="AA30" s="71"/>
    </row>
    <row r="31" spans="1:27" ht="24" customHeight="1" x14ac:dyDescent="0.4">
      <c r="A31" s="35" t="s">
        <v>50</v>
      </c>
      <c r="B31" s="50" t="s">
        <v>51</v>
      </c>
      <c r="C31" s="74"/>
      <c r="D31" s="131">
        <v>22938</v>
      </c>
      <c r="E31" s="104"/>
      <c r="F31" s="68">
        <f>D31/12</f>
        <v>1911.5</v>
      </c>
      <c r="G31" s="69"/>
      <c r="H31" s="70"/>
      <c r="I31" s="69"/>
      <c r="J31" s="131">
        <v>23484</v>
      </c>
      <c r="K31" s="71"/>
      <c r="L31" s="72">
        <f>J31-D31</f>
        <v>546</v>
      </c>
      <c r="M31" s="72">
        <f>J31/12</f>
        <v>1957</v>
      </c>
      <c r="N31" s="71"/>
      <c r="O31" s="131">
        <v>23484</v>
      </c>
      <c r="P31" s="71"/>
      <c r="Q31" s="72">
        <f>O31/12</f>
        <v>1957</v>
      </c>
      <c r="R31" s="72"/>
      <c r="S31" s="73"/>
      <c r="T31" s="71"/>
      <c r="U31" s="106">
        <v>9816</v>
      </c>
      <c r="V31" s="71"/>
      <c r="W31" s="71">
        <f>U31/12</f>
        <v>818</v>
      </c>
      <c r="X31" s="71"/>
      <c r="Y31" s="131">
        <v>9816</v>
      </c>
      <c r="Z31" s="71"/>
      <c r="AA31" s="71">
        <f>Y31/12</f>
        <v>818</v>
      </c>
    </row>
    <row r="32" spans="1:27" ht="6" customHeight="1" x14ac:dyDescent="0.4">
      <c r="B32" s="105"/>
      <c r="C32" s="107"/>
      <c r="D32" s="108"/>
      <c r="E32" s="108"/>
      <c r="F32" s="68"/>
      <c r="G32" s="69"/>
      <c r="H32" s="70"/>
      <c r="I32" s="69"/>
      <c r="J32" s="108"/>
      <c r="K32" s="71"/>
      <c r="L32" s="72"/>
      <c r="M32" s="72"/>
      <c r="N32" s="71"/>
      <c r="O32" s="108"/>
      <c r="P32" s="71"/>
      <c r="Q32" s="72"/>
      <c r="R32" s="72"/>
      <c r="S32" s="73"/>
      <c r="T32" s="71"/>
      <c r="U32" s="108"/>
      <c r="V32" s="71"/>
      <c r="W32" s="71"/>
      <c r="X32" s="71"/>
      <c r="Y32" s="108"/>
      <c r="Z32" s="71"/>
      <c r="AA32" s="71"/>
    </row>
    <row r="33" spans="1:27" s="88" customFormat="1" ht="24" customHeight="1" x14ac:dyDescent="0.4">
      <c r="A33" s="35" t="s">
        <v>52</v>
      </c>
      <c r="B33" s="99" t="s">
        <v>110</v>
      </c>
      <c r="C33" s="74"/>
      <c r="D33" s="109">
        <f>D19*0.005</f>
        <v>315.54906249999999</v>
      </c>
      <c r="E33" s="109"/>
      <c r="F33" s="84">
        <f>D33/12</f>
        <v>26.295755208333333</v>
      </c>
      <c r="G33" s="69"/>
      <c r="H33" s="70"/>
      <c r="I33" s="69"/>
      <c r="J33" s="109">
        <f>J19*0.005</f>
        <v>449.99006680400947</v>
      </c>
      <c r="K33" s="85"/>
      <c r="L33" s="86">
        <f>J33-D33</f>
        <v>134.44100430400948</v>
      </c>
      <c r="M33" s="86">
        <f>J33/12</f>
        <v>37.499172233667458</v>
      </c>
      <c r="N33" s="85"/>
      <c r="O33" s="109">
        <f>O19*0.005</f>
        <v>464.9713611030819</v>
      </c>
      <c r="P33" s="85"/>
      <c r="Q33" s="86">
        <f>O33/12</f>
        <v>38.747613425256823</v>
      </c>
      <c r="R33" s="86"/>
      <c r="S33" s="87"/>
      <c r="T33" s="85"/>
      <c r="U33" s="109">
        <f>U19*0.005</f>
        <v>350.59596707986117</v>
      </c>
      <c r="V33" s="85"/>
      <c r="W33" s="85">
        <f>U33/12</f>
        <v>29.216330589988431</v>
      </c>
      <c r="X33" s="85"/>
      <c r="Y33" s="109">
        <f>Y19*0.005</f>
        <v>436.46182889155011</v>
      </c>
      <c r="Z33" s="85"/>
      <c r="AA33" s="85">
        <f>Y33/12</f>
        <v>36.371819074295843</v>
      </c>
    </row>
    <row r="34" spans="1:27" s="97" customFormat="1" x14ac:dyDescent="0.35">
      <c r="A34" s="36" t="s">
        <v>53</v>
      </c>
      <c r="B34" s="89" t="s">
        <v>54</v>
      </c>
      <c r="C34" s="74"/>
      <c r="D34" s="90">
        <f>D29+D31+D33</f>
        <v>29564.530312499999</v>
      </c>
      <c r="E34" s="90"/>
      <c r="F34" s="91">
        <f>D34/12</f>
        <v>2463.7108593749999</v>
      </c>
      <c r="G34" s="69"/>
      <c r="H34" s="70"/>
      <c r="I34" s="69"/>
      <c r="J34" s="90">
        <f>J29+J31+J33</f>
        <v>32933.791402884199</v>
      </c>
      <c r="K34" s="92"/>
      <c r="L34" s="93">
        <f>J34-D34</f>
        <v>3369.2610903841996</v>
      </c>
      <c r="M34" s="93">
        <f>J34/12</f>
        <v>2744.4826169070166</v>
      </c>
      <c r="N34" s="92"/>
      <c r="O34" s="90">
        <f>O29+O31+O33</f>
        <v>33248.398583164722</v>
      </c>
      <c r="P34" s="92"/>
      <c r="Q34" s="93">
        <f>O34/12</f>
        <v>2770.6998819303935</v>
      </c>
      <c r="R34" s="93"/>
      <c r="S34" s="94"/>
      <c r="T34" s="92"/>
      <c r="U34" s="90">
        <f>U29+U31+U33</f>
        <v>17178.515308677084</v>
      </c>
      <c r="V34" s="92"/>
      <c r="W34" s="92">
        <f>U34/12</f>
        <v>1431.5429423897569</v>
      </c>
      <c r="X34" s="92"/>
      <c r="Y34" s="90">
        <f>Y29+Y31+Y33</f>
        <v>18981.698406722557</v>
      </c>
      <c r="Z34" s="92"/>
      <c r="AA34" s="92">
        <f>Y34/12</f>
        <v>1581.808200560213</v>
      </c>
    </row>
    <row r="35" spans="1:27" ht="30" customHeight="1" x14ac:dyDescent="0.35">
      <c r="B35" s="50"/>
      <c r="C35" s="74"/>
      <c r="D35" s="71"/>
      <c r="E35" s="71"/>
      <c r="F35" s="68"/>
      <c r="G35" s="69"/>
      <c r="H35" s="70"/>
      <c r="I35" s="69"/>
      <c r="J35" s="71"/>
      <c r="K35" s="71"/>
      <c r="L35" s="72"/>
      <c r="M35" s="72"/>
      <c r="N35" s="71"/>
      <c r="O35" s="71"/>
      <c r="P35" s="71"/>
      <c r="Q35" s="72"/>
      <c r="R35" s="72"/>
      <c r="S35" s="73"/>
      <c r="T35" s="71"/>
      <c r="U35" s="71"/>
      <c r="V35" s="71"/>
      <c r="W35" s="71"/>
      <c r="X35" s="71"/>
      <c r="Y35" s="71"/>
      <c r="Z35" s="71"/>
      <c r="AA35" s="71"/>
    </row>
    <row r="36" spans="1:27" ht="9.75" hidden="1" customHeight="1" x14ac:dyDescent="0.35">
      <c r="B36" s="50"/>
      <c r="C36" s="74"/>
      <c r="D36" s="71"/>
      <c r="E36" s="71"/>
      <c r="F36" s="68"/>
      <c r="G36" s="69"/>
      <c r="H36" s="70"/>
      <c r="I36" s="69"/>
      <c r="J36" s="71"/>
      <c r="K36" s="71"/>
      <c r="L36" s="72"/>
      <c r="M36" s="72"/>
      <c r="N36" s="71"/>
      <c r="O36" s="71"/>
      <c r="P36" s="71"/>
      <c r="Q36" s="72"/>
      <c r="R36" s="72"/>
      <c r="S36" s="73"/>
      <c r="T36" s="71"/>
      <c r="U36" s="71"/>
      <c r="V36" s="71"/>
      <c r="W36" s="71"/>
      <c r="X36" s="71"/>
      <c r="Y36" s="71"/>
      <c r="Z36" s="71"/>
      <c r="AA36" s="71"/>
    </row>
    <row r="37" spans="1:27" ht="43" customHeight="1" thickBot="1" x14ac:dyDescent="0.5">
      <c r="B37" s="110" t="s">
        <v>55</v>
      </c>
      <c r="C37" s="74"/>
      <c r="D37" s="111">
        <f>D19+D34</f>
        <v>92674.342812499992</v>
      </c>
      <c r="E37" s="111"/>
      <c r="F37" s="112">
        <f>D37/12</f>
        <v>7722.861901041666</v>
      </c>
      <c r="G37" s="69"/>
      <c r="H37" s="70"/>
      <c r="I37" s="69"/>
      <c r="J37" s="111">
        <f>J19+J34</f>
        <v>122931.80476368609</v>
      </c>
      <c r="K37" s="71"/>
      <c r="L37" s="113">
        <f>J37-D37</f>
        <v>30257.461951186095</v>
      </c>
      <c r="M37" s="113">
        <f>J37/12</f>
        <v>10244.317063640507</v>
      </c>
      <c r="N37" s="71"/>
      <c r="O37" s="111">
        <f>O19+O34</f>
        <v>126242.6708037811</v>
      </c>
      <c r="P37" s="71"/>
      <c r="Q37" s="113">
        <f>O37/12</f>
        <v>10520.222566981758</v>
      </c>
      <c r="R37" s="72"/>
      <c r="S37" s="73"/>
      <c r="T37" s="71"/>
      <c r="U37" s="111">
        <f>U19+U25+U34</f>
        <v>87297.708724649317</v>
      </c>
      <c r="V37" s="111"/>
      <c r="W37" s="114">
        <f>U37/12</f>
        <v>7274.8090603874434</v>
      </c>
      <c r="X37" s="71"/>
      <c r="Y37" s="111">
        <f>Y19+Y25+Y34</f>
        <v>106274.06418503258</v>
      </c>
      <c r="Z37" s="111"/>
      <c r="AA37" s="114">
        <f>Y37/12</f>
        <v>8856.1720154193808</v>
      </c>
    </row>
    <row r="38" spans="1:27" ht="16" thickTop="1" x14ac:dyDescent="0.35">
      <c r="B38" s="115"/>
      <c r="C38" s="116"/>
      <c r="D38" s="117"/>
      <c r="E38" s="118"/>
      <c r="F38" s="68"/>
      <c r="G38" s="69"/>
      <c r="H38" s="70"/>
      <c r="I38" s="69"/>
      <c r="J38" s="117"/>
      <c r="K38" s="71"/>
      <c r="L38" s="72"/>
      <c r="M38" s="72"/>
      <c r="N38" s="71"/>
      <c r="O38" s="117"/>
      <c r="P38" s="71"/>
      <c r="Q38" s="72"/>
      <c r="R38" s="72"/>
      <c r="S38" s="73"/>
      <c r="T38" s="71"/>
      <c r="U38" s="117"/>
      <c r="V38" s="71"/>
      <c r="W38" s="71"/>
      <c r="X38" s="71"/>
      <c r="Y38" s="117"/>
      <c r="Z38" s="71"/>
      <c r="AA38" s="71"/>
    </row>
    <row r="39" spans="1:27" ht="17.5" customHeight="1" x14ac:dyDescent="0.35">
      <c r="B39" s="50"/>
      <c r="C39" s="74"/>
      <c r="D39" s="71"/>
      <c r="E39" s="71"/>
      <c r="F39" s="68"/>
      <c r="G39" s="69"/>
      <c r="H39" s="70"/>
      <c r="I39" s="69"/>
      <c r="J39" s="305" t="s">
        <v>116</v>
      </c>
      <c r="K39" s="305"/>
      <c r="L39" s="305"/>
      <c r="M39" s="305"/>
      <c r="N39" s="305"/>
      <c r="O39" s="305"/>
      <c r="P39" s="305"/>
      <c r="Q39" s="72"/>
      <c r="R39" s="72"/>
      <c r="S39" s="73"/>
      <c r="T39" s="71"/>
      <c r="U39" s="305" t="s">
        <v>117</v>
      </c>
      <c r="V39" s="305"/>
      <c r="W39" s="305"/>
      <c r="X39" s="292"/>
      <c r="Y39" s="305" t="s">
        <v>118</v>
      </c>
      <c r="Z39" s="305"/>
      <c r="AA39" s="305"/>
    </row>
    <row r="40" spans="1:27" ht="32.25" hidden="1" customHeight="1" x14ac:dyDescent="0.35">
      <c r="B40" s="119" t="s">
        <v>56</v>
      </c>
      <c r="C40" s="119"/>
      <c r="D40" s="120"/>
      <c r="E40" s="71"/>
      <c r="F40" s="68"/>
      <c r="G40" s="69"/>
      <c r="H40" s="70"/>
      <c r="I40" s="69"/>
      <c r="J40" s="305"/>
      <c r="K40" s="305"/>
      <c r="L40" s="305"/>
      <c r="M40" s="305"/>
      <c r="N40" s="305"/>
      <c r="O40" s="305"/>
      <c r="P40" s="305"/>
      <c r="Q40" s="72"/>
      <c r="R40" s="72"/>
      <c r="S40" s="73"/>
      <c r="T40" s="71"/>
      <c r="U40" s="305"/>
      <c r="V40" s="305"/>
      <c r="W40" s="305"/>
      <c r="X40" s="292"/>
      <c r="Y40" s="305"/>
      <c r="Z40" s="305"/>
      <c r="AA40" s="305"/>
    </row>
    <row r="41" spans="1:27" ht="17.5" customHeight="1" x14ac:dyDescent="0.35">
      <c r="D41" s="71"/>
      <c r="E41" s="71"/>
      <c r="F41" s="68"/>
      <c r="G41" s="69"/>
      <c r="H41" s="70"/>
      <c r="I41" s="69"/>
      <c r="J41" s="305"/>
      <c r="K41" s="305"/>
      <c r="L41" s="305"/>
      <c r="M41" s="305"/>
      <c r="N41" s="305"/>
      <c r="O41" s="305"/>
      <c r="P41" s="305"/>
      <c r="Q41" s="71"/>
      <c r="R41" s="72"/>
      <c r="S41" s="73"/>
      <c r="T41" s="71"/>
      <c r="U41" s="305"/>
      <c r="V41" s="305"/>
      <c r="W41" s="305"/>
      <c r="X41" s="292"/>
      <c r="Y41" s="305"/>
      <c r="Z41" s="305"/>
      <c r="AA41" s="305"/>
    </row>
    <row r="42" spans="1:27" ht="20" x14ac:dyDescent="0.4">
      <c r="B42" s="102" t="s">
        <v>57</v>
      </c>
      <c r="C42" s="121"/>
      <c r="D42" s="103"/>
      <c r="E42" s="103"/>
      <c r="F42" s="122"/>
      <c r="G42" s="123"/>
      <c r="H42" s="124"/>
      <c r="I42" s="123"/>
      <c r="J42" s="103"/>
      <c r="K42" s="71"/>
      <c r="L42" s="125"/>
      <c r="M42" s="125"/>
      <c r="N42" s="71"/>
      <c r="O42" s="103"/>
      <c r="P42" s="71"/>
      <c r="Q42" s="125"/>
      <c r="R42" s="125"/>
      <c r="S42" s="73"/>
      <c r="T42" s="71"/>
      <c r="U42" s="103"/>
      <c r="V42" s="71"/>
      <c r="W42" s="126"/>
      <c r="X42" s="71"/>
      <c r="Y42" s="103"/>
      <c r="Z42" s="71"/>
      <c r="AA42" s="126"/>
    </row>
    <row r="43" spans="1:27" s="236" customFormat="1" ht="24" customHeight="1" x14ac:dyDescent="0.4">
      <c r="A43" s="227" t="s">
        <v>58</v>
      </c>
      <c r="B43" s="228" t="s">
        <v>59</v>
      </c>
      <c r="C43" s="229"/>
      <c r="D43" s="130"/>
      <c r="E43" s="230"/>
      <c r="F43" s="231"/>
      <c r="G43" s="232"/>
      <c r="H43" s="233"/>
      <c r="I43" s="232"/>
      <c r="J43" s="130"/>
      <c r="K43" s="230"/>
      <c r="L43" s="234"/>
      <c r="M43" s="234"/>
      <c r="N43" s="230"/>
      <c r="O43" s="130"/>
      <c r="P43" s="230"/>
      <c r="Q43" s="234"/>
      <c r="R43" s="234"/>
      <c r="S43" s="235"/>
      <c r="T43" s="230"/>
      <c r="U43" s="130"/>
      <c r="V43" s="230"/>
      <c r="W43" s="230"/>
      <c r="X43" s="230"/>
      <c r="Y43" s="130"/>
      <c r="Z43" s="230"/>
      <c r="AA43" s="230"/>
    </row>
    <row r="44" spans="1:27" s="236" customFormat="1" ht="24" customHeight="1" x14ac:dyDescent="0.4">
      <c r="A44" s="227" t="s">
        <v>60</v>
      </c>
      <c r="B44" s="228" t="s">
        <v>61</v>
      </c>
      <c r="C44" s="237"/>
      <c r="D44" s="130"/>
      <c r="E44" s="238"/>
      <c r="F44" s="231"/>
      <c r="G44" s="232"/>
      <c r="H44" s="233"/>
      <c r="I44" s="232"/>
      <c r="J44" s="130"/>
      <c r="K44" s="230"/>
      <c r="L44" s="234"/>
      <c r="M44" s="234"/>
      <c r="N44" s="230"/>
      <c r="O44" s="130"/>
      <c r="P44" s="230"/>
      <c r="Q44" s="234"/>
      <c r="R44" s="234"/>
      <c r="S44" s="235"/>
      <c r="T44" s="230"/>
      <c r="U44" s="130"/>
      <c r="V44" s="230"/>
      <c r="W44" s="230"/>
      <c r="X44" s="230"/>
      <c r="Y44" s="130"/>
      <c r="Z44" s="230"/>
      <c r="AA44" s="230"/>
    </row>
    <row r="45" spans="1:27" s="236" customFormat="1" ht="24" customHeight="1" x14ac:dyDescent="0.4">
      <c r="A45" s="227" t="s">
        <v>62</v>
      </c>
      <c r="B45" s="228" t="s">
        <v>63</v>
      </c>
      <c r="C45" s="229"/>
      <c r="D45" s="130"/>
      <c r="E45" s="239"/>
      <c r="F45" s="231"/>
      <c r="G45" s="232"/>
      <c r="H45" s="233"/>
      <c r="I45" s="232"/>
      <c r="J45" s="130"/>
      <c r="K45" s="230"/>
      <c r="L45" s="234"/>
      <c r="M45" s="234"/>
      <c r="N45" s="230"/>
      <c r="O45" s="130"/>
      <c r="P45" s="230"/>
      <c r="Q45" s="234"/>
      <c r="R45" s="234"/>
      <c r="S45" s="235"/>
      <c r="T45" s="230"/>
      <c r="U45" s="130"/>
      <c r="V45" s="230"/>
      <c r="W45" s="230"/>
      <c r="X45" s="230"/>
      <c r="Y45" s="130"/>
      <c r="Z45" s="230"/>
      <c r="AA45" s="230"/>
    </row>
    <row r="46" spans="1:27" s="236" customFormat="1" ht="24" customHeight="1" x14ac:dyDescent="0.4">
      <c r="A46" s="227" t="s">
        <v>64</v>
      </c>
      <c r="B46" s="228" t="s">
        <v>65</v>
      </c>
      <c r="C46" s="240"/>
      <c r="D46" s="241"/>
      <c r="E46" s="239"/>
      <c r="F46" s="239"/>
      <c r="G46" s="239"/>
      <c r="H46" s="233"/>
      <c r="I46" s="239"/>
      <c r="J46" s="241"/>
      <c r="K46" s="239"/>
      <c r="L46" s="239"/>
      <c r="M46" s="239"/>
      <c r="N46" s="239"/>
      <c r="O46" s="130"/>
      <c r="P46" s="230"/>
      <c r="Q46" s="234"/>
      <c r="R46" s="234"/>
      <c r="S46" s="235"/>
      <c r="T46" s="230"/>
      <c r="U46" s="130"/>
      <c r="V46" s="230"/>
      <c r="W46" s="230"/>
      <c r="X46" s="230"/>
      <c r="Y46" s="130"/>
      <c r="Z46" s="230"/>
      <c r="AA46" s="230"/>
    </row>
    <row r="47" spans="1:27" s="236" customFormat="1" ht="24" customHeight="1" x14ac:dyDescent="0.4">
      <c r="A47" s="227" t="s">
        <v>66</v>
      </c>
      <c r="B47" s="228" t="s">
        <v>67</v>
      </c>
      <c r="C47" s="242"/>
      <c r="D47" s="130"/>
      <c r="E47" s="243"/>
      <c r="F47" s="231"/>
      <c r="G47" s="232"/>
      <c r="H47" s="233"/>
      <c r="I47" s="232"/>
      <c r="J47" s="130"/>
      <c r="K47" s="230"/>
      <c r="L47" s="234"/>
      <c r="M47" s="234"/>
      <c r="N47" s="230"/>
      <c r="O47" s="130"/>
      <c r="P47" s="230"/>
      <c r="Q47" s="234"/>
      <c r="R47" s="234"/>
      <c r="S47" s="235"/>
      <c r="T47" s="230"/>
      <c r="U47" s="130"/>
      <c r="V47" s="230"/>
      <c r="W47" s="230"/>
      <c r="X47" s="230"/>
      <c r="Y47" s="130"/>
      <c r="Z47" s="230"/>
      <c r="AA47" s="230"/>
    </row>
    <row r="48" spans="1:27" s="236" customFormat="1" ht="18" x14ac:dyDescent="0.4">
      <c r="A48" s="227"/>
      <c r="B48" s="229"/>
      <c r="C48" s="242"/>
      <c r="D48" s="239"/>
      <c r="E48" s="239"/>
      <c r="F48" s="239"/>
      <c r="G48" s="244"/>
      <c r="H48" s="233"/>
      <c r="I48" s="244"/>
      <c r="J48" s="239"/>
      <c r="K48" s="239"/>
      <c r="L48" s="239"/>
      <c r="M48" s="239"/>
      <c r="N48" s="239"/>
      <c r="O48" s="239"/>
      <c r="P48" s="230"/>
      <c r="Q48" s="234"/>
      <c r="R48" s="234"/>
      <c r="S48" s="235"/>
      <c r="T48" s="230"/>
      <c r="U48" s="230"/>
      <c r="V48" s="230"/>
      <c r="W48" s="230"/>
      <c r="X48" s="230"/>
      <c r="Y48" s="230"/>
      <c r="Z48" s="230"/>
      <c r="AA48" s="230"/>
    </row>
    <row r="49" spans="1:29" s="236" customFormat="1" ht="18" x14ac:dyDescent="0.4">
      <c r="A49" s="227"/>
      <c r="B49" s="236" t="s">
        <v>68</v>
      </c>
      <c r="C49" s="229"/>
      <c r="D49" s="241"/>
      <c r="F49" s="245"/>
      <c r="G49" s="246"/>
      <c r="H49" s="247"/>
      <c r="I49" s="246"/>
      <c r="J49" s="241"/>
      <c r="L49" s="248"/>
      <c r="M49" s="249"/>
      <c r="O49" s="130"/>
      <c r="Q49" s="249"/>
      <c r="R49" s="249"/>
      <c r="S49" s="250"/>
      <c r="U49" s="130"/>
      <c r="W49" s="251"/>
      <c r="Y49" s="130"/>
      <c r="AA49" s="251"/>
    </row>
    <row r="50" spans="1:29" ht="18" x14ac:dyDescent="0.4">
      <c r="A50" s="36"/>
      <c r="B50" s="36" t="s">
        <v>119</v>
      </c>
      <c r="C50" s="65"/>
      <c r="D50" s="293"/>
      <c r="E50" s="65"/>
      <c r="F50" s="294"/>
      <c r="G50" s="71"/>
      <c r="H50" s="295"/>
      <c r="J50" s="293"/>
      <c r="K50" s="65"/>
      <c r="L50" s="294"/>
      <c r="M50" s="71"/>
      <c r="N50" s="72"/>
      <c r="O50" s="71"/>
      <c r="P50" s="71"/>
      <c r="Q50" s="294"/>
      <c r="R50" s="71"/>
      <c r="S50" s="71"/>
      <c r="T50" s="65"/>
      <c r="U50" s="58"/>
      <c r="V50" s="65"/>
      <c r="W50" s="76"/>
      <c r="X50" s="71"/>
      <c r="Y50" s="71"/>
      <c r="Z50" s="71"/>
      <c r="AA50" s="76"/>
      <c r="AB50" s="71"/>
      <c r="AC50" s="71"/>
    </row>
  </sheetData>
  <mergeCells count="7">
    <mergeCell ref="J39:P41"/>
    <mergeCell ref="U39:W41"/>
    <mergeCell ref="Y39:AA41"/>
    <mergeCell ref="B2:D2"/>
    <mergeCell ref="U3:W4"/>
    <mergeCell ref="Y3:AA4"/>
    <mergeCell ref="J3:Q4"/>
  </mergeCells>
  <pageMargins left="0.5" right="0.5" top="0.75" bottom="0.75" header="0.3" footer="0.3"/>
  <pageSetup scale="46" orientation="landscape" horizontalDpi="4294967293" verticalDpi="4294967293" r:id="rId1"/>
  <headerFooter>
    <oddHeader>&amp;C&amp;"Times New Roman,Regular"&amp;18Compensation Worksheet for Ministers
NO Parsonage - Housing Allowance Provided</oddHeader>
    <oddFooter xml:space="preserve">&amp;LPortico Benefit Services:  1-800-352-2876 (M-F)
https://porticobenefits.org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2AE0B-F9A9-4AC4-B045-1DEC3B4AAECB}">
  <dimension ref="A2:R45"/>
  <sheetViews>
    <sheetView topLeftCell="A2" zoomScaleNormal="100" workbookViewId="0">
      <selection activeCell="C13" sqref="C13"/>
    </sheetView>
  </sheetViews>
  <sheetFormatPr defaultColWidth="12.1796875" defaultRowHeight="13" x14ac:dyDescent="0.3"/>
  <cols>
    <col min="1" max="1" width="8.81640625" style="274" customWidth="1"/>
    <col min="2" max="2" width="9.1796875" style="274" customWidth="1"/>
    <col min="3" max="3" width="8.54296875" style="289" customWidth="1"/>
    <col min="4" max="4" width="2.90625" style="1" hidden="1" customWidth="1"/>
    <col min="5" max="5" width="11.26953125" style="290" customWidth="1"/>
    <col min="6" max="6" width="9.7265625" style="1" hidden="1" customWidth="1"/>
    <col min="7" max="7" width="10.1796875" style="1" hidden="1" customWidth="1"/>
    <col min="8" max="8" width="13" style="1" hidden="1" customWidth="1"/>
    <col min="9" max="9" width="12.1796875" style="1"/>
    <col min="10" max="10" width="5.54296875" style="1" customWidth="1"/>
    <col min="11" max="11" width="8.7265625" style="1" customWidth="1"/>
    <col min="12" max="12" width="12.453125" style="1" customWidth="1"/>
    <col min="13" max="13" width="5.453125" style="1" customWidth="1"/>
    <col min="14" max="14" width="8.81640625" style="1" customWidth="1"/>
    <col min="15" max="15" width="12.453125" style="1" customWidth="1"/>
    <col min="16" max="16384" width="12.1796875" style="1"/>
  </cols>
  <sheetData>
    <row r="2" spans="1:18" ht="38.5" customHeight="1" x14ac:dyDescent="0.3">
      <c r="B2" s="309" t="s">
        <v>69</v>
      </c>
      <c r="C2" s="309"/>
      <c r="E2" s="275" t="s">
        <v>106</v>
      </c>
      <c r="J2" s="253"/>
      <c r="K2" s="310" t="s">
        <v>107</v>
      </c>
      <c r="L2" s="310"/>
      <c r="M2" s="310"/>
      <c r="N2" s="310"/>
      <c r="O2" s="310"/>
      <c r="P2" s="310"/>
      <c r="Q2" s="253"/>
      <c r="R2" s="253"/>
    </row>
    <row r="3" spans="1:18" s="255" customFormat="1" ht="39" x14ac:dyDescent="0.3">
      <c r="A3" s="255" t="s">
        <v>71</v>
      </c>
      <c r="B3" s="255" t="s">
        <v>16</v>
      </c>
      <c r="C3" s="276" t="s">
        <v>72</v>
      </c>
      <c r="E3" s="277" t="s">
        <v>74</v>
      </c>
      <c r="F3" s="255" t="s">
        <v>79</v>
      </c>
      <c r="G3" s="255" t="s">
        <v>80</v>
      </c>
      <c r="H3" s="255" t="s">
        <v>81</v>
      </c>
      <c r="J3" s="1" t="s">
        <v>82</v>
      </c>
      <c r="K3" s="256" t="s">
        <v>83</v>
      </c>
      <c r="L3" s="1" t="s">
        <v>84</v>
      </c>
      <c r="M3" s="255" t="s">
        <v>82</v>
      </c>
      <c r="N3" s="255" t="s">
        <v>85</v>
      </c>
      <c r="O3" s="255" t="s">
        <v>86</v>
      </c>
    </row>
    <row r="4" spans="1:18" ht="14" x14ac:dyDescent="0.3">
      <c r="A4" s="274" t="s">
        <v>87</v>
      </c>
      <c r="B4" s="278">
        <v>2025</v>
      </c>
      <c r="C4" s="279">
        <v>43273</v>
      </c>
      <c r="D4" s="263"/>
      <c r="E4" s="280">
        <f t="shared" ref="E4:E44" si="0">SUM(C4*K4)+C4</f>
        <v>45042.865700000002</v>
      </c>
      <c r="F4" s="258">
        <f t="shared" ref="F4:F44" si="1">SUM(E4*0.5)</f>
        <v>22521.432850000001</v>
      </c>
      <c r="G4" s="258">
        <f t="shared" ref="G4:G44" si="2">SUM(E4+F4)*0.0765</f>
        <v>5168.6688390750005</v>
      </c>
      <c r="H4" s="281">
        <f t="shared" ref="H4:H44" si="3">SUM(E4+F4+G4)</f>
        <v>72732.967389075013</v>
      </c>
      <c r="J4" s="1">
        <v>0</v>
      </c>
      <c r="K4" s="7">
        <v>4.0899999999999999E-2</v>
      </c>
      <c r="L4" s="9">
        <f>((0.0409-0.023)/40)</f>
        <v>4.4749999999999998E-4</v>
      </c>
      <c r="M4" s="1">
        <v>0</v>
      </c>
      <c r="N4" s="7"/>
      <c r="O4" s="9"/>
    </row>
    <row r="5" spans="1:18" x14ac:dyDescent="0.3">
      <c r="A5" s="274">
        <v>1</v>
      </c>
      <c r="B5" s="274">
        <f t="shared" ref="B5:B44" si="4">B4-1</f>
        <v>2024</v>
      </c>
      <c r="C5" s="282">
        <f t="shared" ref="C5:C44" si="5">SUM(C4*N5)+C4</f>
        <v>44051.913999999997</v>
      </c>
      <c r="D5" s="263"/>
      <c r="E5" s="283">
        <f t="shared" si="0"/>
        <v>45833.924051085</v>
      </c>
      <c r="F5" s="258">
        <f t="shared" si="1"/>
        <v>22916.9620255425</v>
      </c>
      <c r="G5" s="258">
        <f t="shared" si="2"/>
        <v>5259.4427848620035</v>
      </c>
      <c r="H5" s="263">
        <f t="shared" si="3"/>
        <v>74010.328861489514</v>
      </c>
      <c r="J5" s="1">
        <v>1</v>
      </c>
      <c r="K5" s="7">
        <f t="shared" ref="K5:K44" si="6">K4-$L$4</f>
        <v>4.0452500000000002E-2</v>
      </c>
      <c r="L5" s="264"/>
      <c r="M5" s="1">
        <v>1</v>
      </c>
      <c r="N5" s="7">
        <v>1.7999999999999999E-2</v>
      </c>
      <c r="O5" s="9">
        <f>((0.02-0.005)/40)</f>
        <v>3.7500000000000001E-4</v>
      </c>
    </row>
    <row r="6" spans="1:18" x14ac:dyDescent="0.3">
      <c r="A6" s="274">
        <v>2</v>
      </c>
      <c r="B6" s="274">
        <f t="shared" si="4"/>
        <v>2023</v>
      </c>
      <c r="C6" s="282">
        <f t="shared" si="5"/>
        <v>44828.328984249994</v>
      </c>
      <c r="D6" s="263"/>
      <c r="E6" s="283">
        <f t="shared" si="0"/>
        <v>46621.686285264914</v>
      </c>
      <c r="F6" s="258">
        <f t="shared" si="1"/>
        <v>23310.843142632457</v>
      </c>
      <c r="G6" s="258">
        <f t="shared" si="2"/>
        <v>5349.8385012341487</v>
      </c>
      <c r="H6" s="263">
        <f t="shared" si="3"/>
        <v>75282.36792913152</v>
      </c>
      <c r="J6" s="1">
        <v>2</v>
      </c>
      <c r="K6" s="7">
        <f t="shared" si="6"/>
        <v>4.0004999999999999E-2</v>
      </c>
      <c r="M6" s="1">
        <v>2</v>
      </c>
      <c r="N6" s="7">
        <f t="shared" ref="N6:N44" si="7">N5-$O$5</f>
        <v>1.7624999999999998E-2</v>
      </c>
    </row>
    <row r="7" spans="1:18" x14ac:dyDescent="0.3">
      <c r="A7" s="274">
        <v>3</v>
      </c>
      <c r="B7" s="274">
        <f t="shared" si="4"/>
        <v>2022</v>
      </c>
      <c r="C7" s="282">
        <f t="shared" si="5"/>
        <v>45601.617659228308</v>
      </c>
      <c r="D7" s="263"/>
      <c r="E7" s="283">
        <f t="shared" si="0"/>
        <v>47405.503649783233</v>
      </c>
      <c r="F7" s="258">
        <f t="shared" si="1"/>
        <v>23702.751824891617</v>
      </c>
      <c r="G7" s="258">
        <f t="shared" si="2"/>
        <v>5439.7815438126263</v>
      </c>
      <c r="H7" s="263">
        <f t="shared" si="3"/>
        <v>76548.037018487477</v>
      </c>
      <c r="J7" s="1">
        <v>3</v>
      </c>
      <c r="K7" s="7">
        <f t="shared" si="6"/>
        <v>3.9557499999999995E-2</v>
      </c>
      <c r="M7" s="1">
        <v>3</v>
      </c>
      <c r="N7" s="7">
        <f t="shared" si="7"/>
        <v>1.7249999999999998E-2</v>
      </c>
    </row>
    <row r="8" spans="1:18" x14ac:dyDescent="0.3">
      <c r="A8" s="274">
        <v>4</v>
      </c>
      <c r="B8" s="274">
        <f t="shared" si="4"/>
        <v>2021</v>
      </c>
      <c r="C8" s="282">
        <f t="shared" si="5"/>
        <v>46371.144957227785</v>
      </c>
      <c r="D8" s="263"/>
      <c r="E8" s="283">
        <f t="shared" si="0"/>
        <v>48184.720436504962</v>
      </c>
      <c r="F8" s="258">
        <f t="shared" si="1"/>
        <v>24092.360218252481</v>
      </c>
      <c r="G8" s="258">
        <f t="shared" si="2"/>
        <v>5529.1966700889443</v>
      </c>
      <c r="H8" s="263">
        <f t="shared" si="3"/>
        <v>77806.277324846393</v>
      </c>
      <c r="J8" s="1">
        <v>4</v>
      </c>
      <c r="K8" s="7">
        <f t="shared" si="6"/>
        <v>3.9109999999999992E-2</v>
      </c>
      <c r="M8" s="1">
        <v>4</v>
      </c>
      <c r="N8" s="7">
        <f t="shared" si="7"/>
        <v>1.6874999999999998E-2</v>
      </c>
    </row>
    <row r="9" spans="1:18" s="270" customFormat="1" x14ac:dyDescent="0.3">
      <c r="A9" s="284">
        <v>5</v>
      </c>
      <c r="B9" s="284">
        <f t="shared" si="4"/>
        <v>2020</v>
      </c>
      <c r="C9" s="285">
        <f t="shared" si="5"/>
        <v>47136.268849022046</v>
      </c>
      <c r="D9" s="269"/>
      <c r="E9" s="286">
        <f t="shared" si="0"/>
        <v>48958.674843397363</v>
      </c>
      <c r="F9" s="266">
        <f t="shared" si="1"/>
        <v>24479.337421698681</v>
      </c>
      <c r="G9" s="268">
        <f t="shared" si="2"/>
        <v>5618.0079382798467</v>
      </c>
      <c r="H9" s="269">
        <f t="shared" si="3"/>
        <v>79056.020203375883</v>
      </c>
      <c r="J9" s="270">
        <v>5</v>
      </c>
      <c r="K9" s="271">
        <f t="shared" si="6"/>
        <v>3.8662499999999989E-2</v>
      </c>
      <c r="M9" s="270">
        <v>5</v>
      </c>
      <c r="N9" s="271">
        <f t="shared" si="7"/>
        <v>1.6499999999999997E-2</v>
      </c>
      <c r="P9" s="270">
        <f>C9/C4</f>
        <v>1.089276658632913</v>
      </c>
    </row>
    <row r="10" spans="1:18" x14ac:dyDescent="0.3">
      <c r="A10" s="274">
        <v>6</v>
      </c>
      <c r="B10" s="287">
        <f t="shared" si="4"/>
        <v>2019</v>
      </c>
      <c r="C10" s="282">
        <f t="shared" si="5"/>
        <v>47896.341184212528</v>
      </c>
      <c r="D10" s="263"/>
      <c r="E10" s="283">
        <f t="shared" si="0"/>
        <v>49726.699862567206</v>
      </c>
      <c r="F10" s="258">
        <f t="shared" si="1"/>
        <v>24863.349931283603</v>
      </c>
      <c r="G10" s="258">
        <f t="shared" si="2"/>
        <v>5706.1388092295865</v>
      </c>
      <c r="H10" s="263">
        <f t="shared" si="3"/>
        <v>80296.188603080387</v>
      </c>
      <c r="J10" s="1">
        <v>6</v>
      </c>
      <c r="K10" s="7">
        <f t="shared" si="6"/>
        <v>3.8214999999999985E-2</v>
      </c>
      <c r="M10" s="1">
        <v>6</v>
      </c>
      <c r="N10" s="7">
        <f t="shared" si="7"/>
        <v>1.6124999999999997E-2</v>
      </c>
    </row>
    <row r="11" spans="1:18" x14ac:dyDescent="0.3">
      <c r="A11" s="274">
        <v>7</v>
      </c>
      <c r="B11" s="274">
        <f t="shared" si="4"/>
        <v>2018</v>
      </c>
      <c r="C11" s="282">
        <f t="shared" si="5"/>
        <v>48650.708557863873</v>
      </c>
      <c r="D11" s="263"/>
      <c r="E11" s="283">
        <f t="shared" si="0"/>
        <v>50488.124193322998</v>
      </c>
      <c r="F11" s="258">
        <f t="shared" si="1"/>
        <v>25244.062096661499</v>
      </c>
      <c r="G11" s="258">
        <f t="shared" si="2"/>
        <v>5793.5122511838144</v>
      </c>
      <c r="H11" s="263">
        <f t="shared" si="3"/>
        <v>81525.698541168313</v>
      </c>
      <c r="J11" s="1">
        <v>7</v>
      </c>
      <c r="K11" s="7">
        <f t="shared" si="6"/>
        <v>3.7767499999999982E-2</v>
      </c>
      <c r="M11" s="1">
        <v>7</v>
      </c>
      <c r="N11" s="7">
        <f t="shared" si="7"/>
        <v>1.5749999999999997E-2</v>
      </c>
    </row>
    <row r="12" spans="1:18" x14ac:dyDescent="0.3">
      <c r="A12" s="274">
        <v>8</v>
      </c>
      <c r="B12" s="274">
        <f t="shared" si="4"/>
        <v>2017</v>
      </c>
      <c r="C12" s="282">
        <f t="shared" si="5"/>
        <v>49398.713201941027</v>
      </c>
      <c r="D12" s="263"/>
      <c r="E12" s="283">
        <f t="shared" si="0"/>
        <v>51242.273178637464</v>
      </c>
      <c r="F12" s="258">
        <f t="shared" si="1"/>
        <v>25621.136589318732</v>
      </c>
      <c r="G12" s="258">
        <f t="shared" si="2"/>
        <v>5880.050847248649</v>
      </c>
      <c r="H12" s="263">
        <f t="shared" si="3"/>
        <v>82743.460615204851</v>
      </c>
      <c r="J12" s="1">
        <v>8</v>
      </c>
      <c r="K12" s="7">
        <f t="shared" si="6"/>
        <v>3.7319999999999978E-2</v>
      </c>
      <c r="M12" s="1">
        <v>8</v>
      </c>
      <c r="N12" s="7">
        <f t="shared" si="7"/>
        <v>1.5374999999999996E-2</v>
      </c>
    </row>
    <row r="13" spans="1:18" x14ac:dyDescent="0.3">
      <c r="A13" s="274">
        <v>9</v>
      </c>
      <c r="B13" s="274">
        <f t="shared" si="4"/>
        <v>2016</v>
      </c>
      <c r="C13" s="282">
        <f t="shared" si="5"/>
        <v>50139.693899970145</v>
      </c>
      <c r="D13" s="263"/>
      <c r="E13" s="283">
        <f t="shared" si="0"/>
        <v>51988.469763296795</v>
      </c>
      <c r="F13" s="258">
        <f t="shared" si="1"/>
        <v>25994.234881648397</v>
      </c>
      <c r="G13" s="258">
        <f t="shared" si="2"/>
        <v>5965.6769053383068</v>
      </c>
      <c r="H13" s="263">
        <f t="shared" si="3"/>
        <v>83948.381550283491</v>
      </c>
      <c r="J13" s="1">
        <v>9</v>
      </c>
      <c r="K13" s="7">
        <f t="shared" si="6"/>
        <v>3.6872499999999975E-2</v>
      </c>
      <c r="M13" s="1">
        <v>9</v>
      </c>
      <c r="N13" s="7">
        <f t="shared" si="7"/>
        <v>1.4999999999999996E-2</v>
      </c>
    </row>
    <row r="14" spans="1:18" s="265" customFormat="1" x14ac:dyDescent="0.3">
      <c r="A14" s="284">
        <v>10</v>
      </c>
      <c r="B14" s="284">
        <f t="shared" si="4"/>
        <v>2015</v>
      </c>
      <c r="C14" s="285">
        <f t="shared" si="5"/>
        <v>50872.986923257209</v>
      </c>
      <c r="D14" s="269"/>
      <c r="E14" s="288">
        <f t="shared" si="0"/>
        <v>52726.035471936848</v>
      </c>
      <c r="F14" s="266">
        <f t="shared" si="1"/>
        <v>26363.017735968424</v>
      </c>
      <c r="G14" s="266">
        <f t="shared" si="2"/>
        <v>6050.3125704047525</v>
      </c>
      <c r="H14" s="269">
        <f t="shared" si="3"/>
        <v>85139.365778310021</v>
      </c>
      <c r="J14" s="265">
        <v>10</v>
      </c>
      <c r="K14" s="272">
        <f t="shared" si="6"/>
        <v>3.6424999999999971E-2</v>
      </c>
      <c r="M14" s="265">
        <v>10</v>
      </c>
      <c r="N14" s="272">
        <f t="shared" si="7"/>
        <v>1.4624999999999996E-2</v>
      </c>
    </row>
    <row r="15" spans="1:18" x14ac:dyDescent="0.3">
      <c r="A15" s="274">
        <v>11</v>
      </c>
      <c r="B15" s="287">
        <f t="shared" si="4"/>
        <v>2014</v>
      </c>
      <c r="C15" s="282">
        <f t="shared" si="5"/>
        <v>51597.926986913626</v>
      </c>
      <c r="D15" s="263"/>
      <c r="E15" s="283">
        <f t="shared" si="0"/>
        <v>53454.291405085307</v>
      </c>
      <c r="F15" s="258">
        <f t="shared" si="1"/>
        <v>26727.145702542653</v>
      </c>
      <c r="G15" s="258">
        <f t="shared" si="2"/>
        <v>6133.8799387335393</v>
      </c>
      <c r="H15" s="263">
        <f t="shared" si="3"/>
        <v>86315.31704636151</v>
      </c>
      <c r="J15" s="1">
        <v>11</v>
      </c>
      <c r="K15" s="7">
        <f t="shared" si="6"/>
        <v>3.5977499999999968E-2</v>
      </c>
      <c r="M15" s="1">
        <v>11</v>
      </c>
      <c r="N15" s="7">
        <f t="shared" si="7"/>
        <v>1.4249999999999995E-2</v>
      </c>
    </row>
    <row r="16" spans="1:18" x14ac:dyDescent="0.3">
      <c r="A16" s="274">
        <v>12</v>
      </c>
      <c r="B16" s="274">
        <f t="shared" si="4"/>
        <v>2013</v>
      </c>
      <c r="C16" s="282">
        <f t="shared" si="5"/>
        <v>52313.84822385705</v>
      </c>
      <c r="D16" s="263"/>
      <c r="E16" s="283">
        <f t="shared" si="0"/>
        <v>54172.559251250692</v>
      </c>
      <c r="F16" s="258">
        <f t="shared" si="1"/>
        <v>27086.279625625346</v>
      </c>
      <c r="G16" s="258">
        <f t="shared" si="2"/>
        <v>6216.3011740810161</v>
      </c>
      <c r="H16" s="263">
        <f t="shared" si="3"/>
        <v>87475.140050957052</v>
      </c>
      <c r="J16" s="1">
        <v>12</v>
      </c>
      <c r="K16" s="7">
        <f t="shared" si="6"/>
        <v>3.5529999999999964E-2</v>
      </c>
      <c r="M16" s="1">
        <v>12</v>
      </c>
      <c r="N16" s="7">
        <f t="shared" si="7"/>
        <v>1.3874999999999995E-2</v>
      </c>
    </row>
    <row r="17" spans="1:14" x14ac:dyDescent="0.3">
      <c r="A17" s="274">
        <v>13</v>
      </c>
      <c r="B17" s="274">
        <f t="shared" si="4"/>
        <v>2012</v>
      </c>
      <c r="C17" s="282">
        <f t="shared" si="5"/>
        <v>53020.085174879117</v>
      </c>
      <c r="D17" s="263"/>
      <c r="E17" s="283">
        <f t="shared" si="0"/>
        <v>54880.162313026813</v>
      </c>
      <c r="F17" s="258">
        <f t="shared" si="1"/>
        <v>27440.081156513406</v>
      </c>
      <c r="G17" s="258">
        <f t="shared" si="2"/>
        <v>6297.4986254198266</v>
      </c>
      <c r="H17" s="263">
        <f t="shared" si="3"/>
        <v>88617.742094960049</v>
      </c>
      <c r="J17" s="1">
        <v>13</v>
      </c>
      <c r="K17" s="7">
        <f t="shared" si="6"/>
        <v>3.5082499999999961E-2</v>
      </c>
      <c r="M17" s="1">
        <v>13</v>
      </c>
      <c r="N17" s="7">
        <f t="shared" si="7"/>
        <v>1.3499999999999995E-2</v>
      </c>
    </row>
    <row r="18" spans="1:14" x14ac:dyDescent="0.3">
      <c r="A18" s="274">
        <v>14</v>
      </c>
      <c r="B18" s="274">
        <f t="shared" si="4"/>
        <v>2011</v>
      </c>
      <c r="C18" s="282">
        <f t="shared" si="5"/>
        <v>53715.973792799407</v>
      </c>
      <c r="D18" s="263"/>
      <c r="E18" s="283">
        <f t="shared" si="0"/>
        <v>55576.426545113012</v>
      </c>
      <c r="F18" s="258">
        <f t="shared" si="1"/>
        <v>27788.213272556506</v>
      </c>
      <c r="G18" s="258">
        <f t="shared" si="2"/>
        <v>6377.3949460517188</v>
      </c>
      <c r="H18" s="263">
        <f t="shared" si="3"/>
        <v>89742.03476372124</v>
      </c>
      <c r="J18" s="1">
        <v>14</v>
      </c>
      <c r="K18" s="7">
        <f t="shared" si="6"/>
        <v>3.4634999999999957E-2</v>
      </c>
      <c r="M18" s="1">
        <v>14</v>
      </c>
      <c r="N18" s="7">
        <f t="shared" si="7"/>
        <v>1.3124999999999994E-2</v>
      </c>
    </row>
    <row r="19" spans="1:14" s="265" customFormat="1" x14ac:dyDescent="0.3">
      <c r="A19" s="284">
        <v>15</v>
      </c>
      <c r="B19" s="284">
        <f t="shared" si="4"/>
        <v>2010</v>
      </c>
      <c r="C19" s="285">
        <f t="shared" si="5"/>
        <v>54400.852458657595</v>
      </c>
      <c r="D19" s="269"/>
      <c r="E19" s="288">
        <f t="shared" si="0"/>
        <v>56260.681602087949</v>
      </c>
      <c r="F19" s="266">
        <f t="shared" si="1"/>
        <v>28130.340801043974</v>
      </c>
      <c r="G19" s="266">
        <f t="shared" si="2"/>
        <v>6455.9132138395917</v>
      </c>
      <c r="H19" s="269">
        <f t="shared" si="3"/>
        <v>90846.935616971517</v>
      </c>
      <c r="J19" s="265">
        <v>15</v>
      </c>
      <c r="K19" s="272">
        <f t="shared" si="6"/>
        <v>3.4187499999999954E-2</v>
      </c>
      <c r="M19" s="265">
        <v>15</v>
      </c>
      <c r="N19" s="272">
        <f t="shared" si="7"/>
        <v>1.2749999999999994E-2</v>
      </c>
    </row>
    <row r="20" spans="1:14" x14ac:dyDescent="0.3">
      <c r="A20" s="274">
        <v>16</v>
      </c>
      <c r="B20" s="287">
        <f t="shared" si="4"/>
        <v>2009</v>
      </c>
      <c r="C20" s="282">
        <f t="shared" si="5"/>
        <v>55074.06300783348</v>
      </c>
      <c r="D20" s="263"/>
      <c r="E20" s="283">
        <f t="shared" si="0"/>
        <v>56932.261893717776</v>
      </c>
      <c r="F20" s="258">
        <f t="shared" si="1"/>
        <v>28466.130946858888</v>
      </c>
      <c r="G20" s="258">
        <f t="shared" si="2"/>
        <v>6532.9770523041143</v>
      </c>
      <c r="H20" s="263">
        <f t="shared" si="3"/>
        <v>91931.369892880772</v>
      </c>
      <c r="J20" s="1">
        <v>16</v>
      </c>
      <c r="K20" s="7">
        <f t="shared" si="6"/>
        <v>3.3739999999999951E-2</v>
      </c>
      <c r="M20" s="1">
        <v>16</v>
      </c>
      <c r="N20" s="7">
        <f t="shared" si="7"/>
        <v>1.2374999999999994E-2</v>
      </c>
    </row>
    <row r="21" spans="1:14" x14ac:dyDescent="0.3">
      <c r="A21" s="274">
        <v>17</v>
      </c>
      <c r="B21" s="274">
        <f t="shared" si="4"/>
        <v>2008</v>
      </c>
      <c r="C21" s="282">
        <f t="shared" si="5"/>
        <v>55734.951763927478</v>
      </c>
      <c r="D21" s="263"/>
      <c r="E21" s="283">
        <f t="shared" si="0"/>
        <v>57590.507645528029</v>
      </c>
      <c r="F21" s="258">
        <f t="shared" si="1"/>
        <v>28795.253822764014</v>
      </c>
      <c r="G21" s="258">
        <f t="shared" si="2"/>
        <v>6608.5107523243405</v>
      </c>
      <c r="H21" s="263">
        <f t="shared" si="3"/>
        <v>92994.272220616374</v>
      </c>
      <c r="J21" s="1">
        <v>17</v>
      </c>
      <c r="K21" s="7">
        <f t="shared" si="6"/>
        <v>3.3292499999999947E-2</v>
      </c>
      <c r="M21" s="1">
        <v>17</v>
      </c>
      <c r="N21" s="7">
        <f t="shared" si="7"/>
        <v>1.1999999999999993E-2</v>
      </c>
    </row>
    <row r="22" spans="1:14" x14ac:dyDescent="0.3">
      <c r="A22" s="274">
        <v>18</v>
      </c>
      <c r="B22" s="274">
        <f t="shared" si="4"/>
        <v>2007</v>
      </c>
      <c r="C22" s="282">
        <f t="shared" si="5"/>
        <v>56382.870578183138</v>
      </c>
      <c r="D22" s="263"/>
      <c r="E22" s="283">
        <f t="shared" si="0"/>
        <v>58234.76596232356</v>
      </c>
      <c r="F22" s="258">
        <f t="shared" si="1"/>
        <v>29117.38298116178</v>
      </c>
      <c r="G22" s="258">
        <f t="shared" si="2"/>
        <v>6682.4393941766284</v>
      </c>
      <c r="H22" s="263">
        <f t="shared" si="3"/>
        <v>94034.588337661975</v>
      </c>
      <c r="J22" s="1">
        <v>18</v>
      </c>
      <c r="K22" s="7">
        <f t="shared" si="6"/>
        <v>3.2844999999999944E-2</v>
      </c>
      <c r="M22" s="1">
        <v>18</v>
      </c>
      <c r="N22" s="7">
        <f t="shared" si="7"/>
        <v>1.1624999999999993E-2</v>
      </c>
    </row>
    <row r="23" spans="1:14" x14ac:dyDescent="0.3">
      <c r="A23" s="274">
        <v>19</v>
      </c>
      <c r="B23" s="274">
        <f t="shared" si="4"/>
        <v>2006</v>
      </c>
      <c r="C23" s="282">
        <f t="shared" si="5"/>
        <v>57017.177872187698</v>
      </c>
      <c r="D23" s="263"/>
      <c r="E23" s="283">
        <f t="shared" si="0"/>
        <v>58864.391892301894</v>
      </c>
      <c r="F23" s="258">
        <f t="shared" si="1"/>
        <v>29432.195946150947</v>
      </c>
      <c r="G23" s="258">
        <f t="shared" si="2"/>
        <v>6754.688969641642</v>
      </c>
      <c r="H23" s="263">
        <f t="shared" si="3"/>
        <v>95051.276808094481</v>
      </c>
      <c r="J23" s="1">
        <v>19</v>
      </c>
      <c r="K23" s="7">
        <f t="shared" si="6"/>
        <v>3.239749999999994E-2</v>
      </c>
      <c r="M23" s="1">
        <v>19</v>
      </c>
      <c r="N23" s="7">
        <f t="shared" si="7"/>
        <v>1.1249999999999993E-2</v>
      </c>
    </row>
    <row r="24" spans="1:14" s="265" customFormat="1" x14ac:dyDescent="0.3">
      <c r="A24" s="284">
        <v>20</v>
      </c>
      <c r="B24" s="284">
        <f t="shared" si="4"/>
        <v>2005</v>
      </c>
      <c r="C24" s="285">
        <f t="shared" si="5"/>
        <v>57637.23968154774</v>
      </c>
      <c r="D24" s="269"/>
      <c r="E24" s="288">
        <f t="shared" si="0"/>
        <v>59478.749489373185</v>
      </c>
      <c r="F24" s="266">
        <f t="shared" si="1"/>
        <v>29739.374744686593</v>
      </c>
      <c r="G24" s="266">
        <f t="shared" si="2"/>
        <v>6825.1865039055729</v>
      </c>
      <c r="H24" s="269">
        <f t="shared" si="3"/>
        <v>96043.310737965352</v>
      </c>
      <c r="J24" s="265">
        <v>20</v>
      </c>
      <c r="K24" s="272">
        <f t="shared" si="6"/>
        <v>3.1949999999999937E-2</v>
      </c>
      <c r="M24" s="265">
        <v>20</v>
      </c>
      <c r="N24" s="272">
        <f t="shared" si="7"/>
        <v>1.0874999999999992E-2</v>
      </c>
    </row>
    <row r="25" spans="1:14" x14ac:dyDescent="0.3">
      <c r="A25" s="274">
        <v>21</v>
      </c>
      <c r="B25" s="287">
        <f t="shared" si="4"/>
        <v>2004</v>
      </c>
      <c r="C25" s="282">
        <f t="shared" si="5"/>
        <v>58242.430698203993</v>
      </c>
      <c r="D25" s="263"/>
      <c r="E25" s="283">
        <f t="shared" si="0"/>
        <v>60077.212871274161</v>
      </c>
      <c r="F25" s="258">
        <f t="shared" si="1"/>
        <v>30038.606435637081</v>
      </c>
      <c r="G25" s="258">
        <f t="shared" si="2"/>
        <v>6893.8601769787101</v>
      </c>
      <c r="H25" s="263">
        <f t="shared" si="3"/>
        <v>97009.679483889951</v>
      </c>
      <c r="J25" s="1">
        <v>21</v>
      </c>
      <c r="K25" s="7">
        <f t="shared" si="6"/>
        <v>3.1502499999999933E-2</v>
      </c>
      <c r="M25" s="1">
        <v>21</v>
      </c>
      <c r="N25" s="7">
        <f t="shared" si="7"/>
        <v>1.0499999999999992E-2</v>
      </c>
    </row>
    <row r="26" spans="1:14" x14ac:dyDescent="0.3">
      <c r="A26" s="274">
        <v>22</v>
      </c>
      <c r="B26" s="274">
        <f t="shared" si="4"/>
        <v>2003</v>
      </c>
      <c r="C26" s="282">
        <f t="shared" si="5"/>
        <v>58832.13530902331</v>
      </c>
      <c r="D26" s="263"/>
      <c r="E26" s="283">
        <f t="shared" si="0"/>
        <v>60659.167271045022</v>
      </c>
      <c r="F26" s="258">
        <f t="shared" si="1"/>
        <v>30329.583635522511</v>
      </c>
      <c r="G26" s="258">
        <f t="shared" si="2"/>
        <v>6960.6394443524159</v>
      </c>
      <c r="H26" s="263">
        <f t="shared" si="3"/>
        <v>97949.390350919944</v>
      </c>
      <c r="J26" s="1">
        <v>22</v>
      </c>
      <c r="K26" s="7">
        <f t="shared" si="6"/>
        <v>3.1054999999999933E-2</v>
      </c>
      <c r="M26" s="1">
        <v>22</v>
      </c>
      <c r="N26" s="7">
        <f t="shared" si="7"/>
        <v>1.0124999999999992E-2</v>
      </c>
    </row>
    <row r="27" spans="1:14" x14ac:dyDescent="0.3">
      <c r="A27" s="274">
        <v>23</v>
      </c>
      <c r="B27" s="274">
        <f t="shared" si="4"/>
        <v>2002</v>
      </c>
      <c r="C27" s="282">
        <f t="shared" si="5"/>
        <v>59405.748628286288</v>
      </c>
      <c r="D27" s="263"/>
      <c r="E27" s="283">
        <f t="shared" si="0"/>
        <v>61224.01007942656</v>
      </c>
      <c r="F27" s="258">
        <f t="shared" si="1"/>
        <v>30612.00503971328</v>
      </c>
      <c r="G27" s="258">
        <f t="shared" si="2"/>
        <v>7025.4551566141972</v>
      </c>
      <c r="H27" s="263">
        <f t="shared" si="3"/>
        <v>98861.470275754036</v>
      </c>
      <c r="J27" s="1">
        <v>23</v>
      </c>
      <c r="K27" s="7">
        <f t="shared" si="6"/>
        <v>3.0607499999999933E-2</v>
      </c>
      <c r="M27" s="1">
        <v>23</v>
      </c>
      <c r="N27" s="7">
        <f t="shared" si="7"/>
        <v>9.7499999999999913E-3</v>
      </c>
    </row>
    <row r="28" spans="1:14" x14ac:dyDescent="0.3">
      <c r="A28" s="274">
        <v>24</v>
      </c>
      <c r="B28" s="274">
        <f t="shared" si="4"/>
        <v>2001</v>
      </c>
      <c r="C28" s="282">
        <f t="shared" si="5"/>
        <v>59962.677521676473</v>
      </c>
      <c r="D28" s="263"/>
      <c r="E28" s="283">
        <f t="shared" si="0"/>
        <v>61771.151875730233</v>
      </c>
      <c r="F28" s="258">
        <f t="shared" si="1"/>
        <v>30885.575937865116</v>
      </c>
      <c r="G28" s="258">
        <f t="shared" si="2"/>
        <v>7088.2396777400445</v>
      </c>
      <c r="H28" s="263">
        <f t="shared" si="3"/>
        <v>99744.967491335396</v>
      </c>
      <c r="J28" s="1">
        <v>24</v>
      </c>
      <c r="K28" s="7">
        <f t="shared" si="6"/>
        <v>3.0159999999999933E-2</v>
      </c>
      <c r="M28" s="1">
        <v>24</v>
      </c>
      <c r="N28" s="7">
        <f t="shared" si="7"/>
        <v>9.374999999999991E-3</v>
      </c>
    </row>
    <row r="29" spans="1:14" s="265" customFormat="1" x14ac:dyDescent="0.3">
      <c r="A29" s="284">
        <v>25</v>
      </c>
      <c r="B29" s="284">
        <f t="shared" si="4"/>
        <v>2000</v>
      </c>
      <c r="C29" s="285">
        <f t="shared" si="5"/>
        <v>60502.34161937156</v>
      </c>
      <c r="D29" s="269"/>
      <c r="E29" s="288">
        <f t="shared" si="0"/>
        <v>62300.017444737132</v>
      </c>
      <c r="F29" s="266">
        <f t="shared" si="1"/>
        <v>31150.008722368566</v>
      </c>
      <c r="G29" s="266">
        <f t="shared" si="2"/>
        <v>7148.9270017835852</v>
      </c>
      <c r="H29" s="269">
        <f t="shared" si="3"/>
        <v>100598.95316888927</v>
      </c>
      <c r="J29" s="265">
        <v>25</v>
      </c>
      <c r="K29" s="272">
        <f t="shared" si="6"/>
        <v>2.9712499999999933E-2</v>
      </c>
      <c r="M29" s="265">
        <v>25</v>
      </c>
      <c r="N29" s="272">
        <f t="shared" si="7"/>
        <v>8.9999999999999906E-3</v>
      </c>
    </row>
    <row r="30" spans="1:14" x14ac:dyDescent="0.3">
      <c r="A30" s="274">
        <v>26</v>
      </c>
      <c r="B30" s="287">
        <f t="shared" si="4"/>
        <v>1999</v>
      </c>
      <c r="C30" s="282">
        <f t="shared" si="5"/>
        <v>61024.174315838638</v>
      </c>
      <c r="D30" s="263"/>
      <c r="E30" s="283">
        <f t="shared" si="0"/>
        <v>62810.046777191652</v>
      </c>
      <c r="F30" s="258">
        <f t="shared" si="1"/>
        <v>31405.023388595826</v>
      </c>
      <c r="G30" s="258">
        <f t="shared" si="2"/>
        <v>7207.4528676827413</v>
      </c>
      <c r="H30" s="263">
        <f t="shared" si="3"/>
        <v>101422.52303347022</v>
      </c>
      <c r="J30" s="1">
        <v>26</v>
      </c>
      <c r="K30" s="7">
        <f t="shared" si="6"/>
        <v>2.9264999999999933E-2</v>
      </c>
      <c r="M30" s="1">
        <v>26</v>
      </c>
      <c r="N30" s="7">
        <f t="shared" si="7"/>
        <v>8.6249999999999903E-3</v>
      </c>
    </row>
    <row r="31" spans="1:14" x14ac:dyDescent="0.3">
      <c r="A31" s="274">
        <v>27</v>
      </c>
      <c r="B31" s="274">
        <f t="shared" si="4"/>
        <v>1998</v>
      </c>
      <c r="C31" s="282">
        <f t="shared" si="5"/>
        <v>61527.623753944303</v>
      </c>
      <c r="D31" s="263"/>
      <c r="E31" s="283">
        <f t="shared" si="0"/>
        <v>63300.696051473591</v>
      </c>
      <c r="F31" s="258">
        <f t="shared" si="1"/>
        <v>31650.348025736796</v>
      </c>
      <c r="G31" s="258">
        <f t="shared" si="2"/>
        <v>7263.7548719065944</v>
      </c>
      <c r="H31" s="263">
        <f t="shared" si="3"/>
        <v>102214.79894911699</v>
      </c>
      <c r="J31" s="1">
        <v>27</v>
      </c>
      <c r="K31" s="7">
        <f t="shared" si="6"/>
        <v>2.8817499999999933E-2</v>
      </c>
      <c r="M31" s="1">
        <v>27</v>
      </c>
      <c r="N31" s="7">
        <f t="shared" si="7"/>
        <v>8.24999999999999E-3</v>
      </c>
    </row>
    <row r="32" spans="1:14" x14ac:dyDescent="0.3">
      <c r="A32" s="274">
        <v>28</v>
      </c>
      <c r="B32" s="274">
        <f t="shared" si="4"/>
        <v>1997</v>
      </c>
      <c r="C32" s="282">
        <f t="shared" si="5"/>
        <v>62012.153791006611</v>
      </c>
      <c r="D32" s="263"/>
      <c r="E32" s="283">
        <f t="shared" si="0"/>
        <v>63771.438594057465</v>
      </c>
      <c r="F32" s="258">
        <f t="shared" si="1"/>
        <v>31885.719297028732</v>
      </c>
      <c r="G32" s="258">
        <f t="shared" si="2"/>
        <v>7317.772578668094</v>
      </c>
      <c r="H32" s="263">
        <f t="shared" si="3"/>
        <v>102974.9304697543</v>
      </c>
      <c r="J32" s="1">
        <v>28</v>
      </c>
      <c r="K32" s="7">
        <f t="shared" si="6"/>
        <v>2.8369999999999933E-2</v>
      </c>
      <c r="M32" s="1">
        <v>28</v>
      </c>
      <c r="N32" s="7">
        <f t="shared" si="7"/>
        <v>7.8749999999999896E-3</v>
      </c>
    </row>
    <row r="33" spans="1:14" x14ac:dyDescent="0.3">
      <c r="A33" s="274">
        <v>29</v>
      </c>
      <c r="B33" s="274">
        <f t="shared" si="4"/>
        <v>1996</v>
      </c>
      <c r="C33" s="282">
        <f t="shared" si="5"/>
        <v>62477.24494443916</v>
      </c>
      <c r="D33" s="263"/>
      <c r="E33" s="283">
        <f t="shared" si="0"/>
        <v>64221.765816400257</v>
      </c>
      <c r="F33" s="258">
        <f t="shared" si="1"/>
        <v>32110.882908200128</v>
      </c>
      <c r="G33" s="258">
        <f t="shared" si="2"/>
        <v>7369.4476274319295</v>
      </c>
      <c r="H33" s="263">
        <f t="shared" si="3"/>
        <v>103702.09635203231</v>
      </c>
      <c r="J33" s="1">
        <v>29</v>
      </c>
      <c r="K33" s="7">
        <f t="shared" si="6"/>
        <v>2.7922499999999933E-2</v>
      </c>
      <c r="M33" s="1">
        <v>29</v>
      </c>
      <c r="N33" s="7">
        <f t="shared" si="7"/>
        <v>7.4999999999999893E-3</v>
      </c>
    </row>
    <row r="34" spans="1:14" s="265" customFormat="1" x14ac:dyDescent="0.3">
      <c r="A34" s="284">
        <v>30</v>
      </c>
      <c r="B34" s="284">
        <f t="shared" si="4"/>
        <v>1995</v>
      </c>
      <c r="C34" s="285">
        <f t="shared" si="5"/>
        <v>62922.395314668291</v>
      </c>
      <c r="D34" s="269"/>
      <c r="E34" s="288">
        <f t="shared" si="0"/>
        <v>64651.188125938796</v>
      </c>
      <c r="F34" s="266">
        <f t="shared" si="1"/>
        <v>32325.594062969398</v>
      </c>
      <c r="G34" s="266">
        <f t="shared" si="2"/>
        <v>7418.7238374514773</v>
      </c>
      <c r="H34" s="269">
        <f t="shared" si="3"/>
        <v>104395.50602635967</v>
      </c>
      <c r="J34" s="265">
        <v>30</v>
      </c>
      <c r="K34" s="272">
        <f t="shared" si="6"/>
        <v>2.7474999999999934E-2</v>
      </c>
      <c r="M34" s="265">
        <v>30</v>
      </c>
      <c r="N34" s="272">
        <f t="shared" si="7"/>
        <v>7.124999999999989E-3</v>
      </c>
    </row>
    <row r="35" spans="1:14" x14ac:dyDescent="0.3">
      <c r="A35" s="274">
        <v>31</v>
      </c>
      <c r="B35" s="287">
        <f t="shared" si="4"/>
        <v>1994</v>
      </c>
      <c r="C35" s="282">
        <f t="shared" si="5"/>
        <v>63347.121483042298</v>
      </c>
      <c r="D35" s="263"/>
      <c r="E35" s="283">
        <f t="shared" si="0"/>
        <v>65059.235808925223</v>
      </c>
      <c r="F35" s="258">
        <f t="shared" si="1"/>
        <v>32529.617904462611</v>
      </c>
      <c r="G35" s="258">
        <f t="shared" si="2"/>
        <v>7465.5473090741689</v>
      </c>
      <c r="H35" s="263">
        <f t="shared" si="3"/>
        <v>105054.401022462</v>
      </c>
      <c r="J35" s="1">
        <v>31</v>
      </c>
      <c r="K35" s="7">
        <f t="shared" si="6"/>
        <v>2.7027499999999934E-2</v>
      </c>
      <c r="M35" s="1">
        <v>31</v>
      </c>
      <c r="N35" s="7">
        <f t="shared" si="7"/>
        <v>6.7499999999999886E-3</v>
      </c>
    </row>
    <row r="36" spans="1:14" x14ac:dyDescent="0.3">
      <c r="A36" s="274">
        <v>32</v>
      </c>
      <c r="B36" s="274">
        <f t="shared" si="4"/>
        <v>1993</v>
      </c>
      <c r="C36" s="282">
        <f t="shared" si="5"/>
        <v>63750.959382496694</v>
      </c>
      <c r="D36" s="263"/>
      <c r="E36" s="283">
        <f t="shared" si="0"/>
        <v>65445.45988288345</v>
      </c>
      <c r="F36" s="258">
        <f t="shared" si="1"/>
        <v>32722.729941441725</v>
      </c>
      <c r="G36" s="258">
        <f t="shared" si="2"/>
        <v>7509.8665215608762</v>
      </c>
      <c r="H36" s="263">
        <f t="shared" si="3"/>
        <v>105678.05634588606</v>
      </c>
      <c r="J36" s="1">
        <v>32</v>
      </c>
      <c r="K36" s="7">
        <f t="shared" si="6"/>
        <v>2.6579999999999934E-2</v>
      </c>
      <c r="M36" s="1">
        <v>32</v>
      </c>
      <c r="N36" s="7">
        <f t="shared" si="7"/>
        <v>6.3749999999999883E-3</v>
      </c>
    </row>
    <row r="37" spans="1:14" x14ac:dyDescent="0.3">
      <c r="A37" s="274">
        <v>33</v>
      </c>
      <c r="B37" s="274">
        <f t="shared" si="4"/>
        <v>1992</v>
      </c>
      <c r="C37" s="282">
        <f t="shared" si="5"/>
        <v>64133.465138791675</v>
      </c>
      <c r="D37" s="263"/>
      <c r="E37" s="283">
        <f t="shared" si="0"/>
        <v>65809.43291653115</v>
      </c>
      <c r="F37" s="258">
        <f t="shared" si="1"/>
        <v>32904.716458265575</v>
      </c>
      <c r="G37" s="258">
        <f t="shared" si="2"/>
        <v>7551.6324271719486</v>
      </c>
      <c r="H37" s="263">
        <f t="shared" si="3"/>
        <v>106265.78180196867</v>
      </c>
      <c r="J37" s="1">
        <v>33</v>
      </c>
      <c r="K37" s="7">
        <f t="shared" si="6"/>
        <v>2.6132499999999934E-2</v>
      </c>
      <c r="M37" s="1">
        <v>33</v>
      </c>
      <c r="N37" s="7">
        <f t="shared" si="7"/>
        <v>5.999999999999988E-3</v>
      </c>
    </row>
    <row r="38" spans="1:14" x14ac:dyDescent="0.3">
      <c r="A38" s="274">
        <v>34</v>
      </c>
      <c r="B38" s="274">
        <f t="shared" si="4"/>
        <v>1991</v>
      </c>
      <c r="C38" s="282">
        <f t="shared" si="5"/>
        <v>64494.215880197378</v>
      </c>
      <c r="D38" s="263"/>
      <c r="E38" s="283">
        <f t="shared" si="0"/>
        <v>66150.749815080242</v>
      </c>
      <c r="F38" s="258">
        <f t="shared" si="1"/>
        <v>33075.374907540121</v>
      </c>
      <c r="G38" s="258">
        <f t="shared" si="2"/>
        <v>7590.7985412804574</v>
      </c>
      <c r="H38" s="263">
        <f t="shared" si="3"/>
        <v>106816.92326390081</v>
      </c>
      <c r="J38" s="1">
        <v>34</v>
      </c>
      <c r="K38" s="7">
        <f t="shared" si="6"/>
        <v>2.5684999999999934E-2</v>
      </c>
      <c r="M38" s="1">
        <v>34</v>
      </c>
      <c r="N38" s="7">
        <f t="shared" si="7"/>
        <v>5.6249999999999876E-3</v>
      </c>
    </row>
    <row r="39" spans="1:14" s="265" customFormat="1" x14ac:dyDescent="0.3">
      <c r="A39" s="284">
        <v>35</v>
      </c>
      <c r="B39" s="284">
        <f t="shared" si="4"/>
        <v>1990</v>
      </c>
      <c r="C39" s="285">
        <f t="shared" si="5"/>
        <v>64832.810513568416</v>
      </c>
      <c r="D39" s="269"/>
      <c r="E39" s="288">
        <f t="shared" si="0"/>
        <v>66469.0285689046</v>
      </c>
      <c r="F39" s="266">
        <f t="shared" si="1"/>
        <v>33234.5142844523</v>
      </c>
      <c r="G39" s="266">
        <f t="shared" si="2"/>
        <v>7627.3210282818018</v>
      </c>
      <c r="H39" s="269">
        <f t="shared" si="3"/>
        <v>107330.8638816387</v>
      </c>
      <c r="J39" s="265">
        <v>35</v>
      </c>
      <c r="K39" s="272">
        <f t="shared" si="6"/>
        <v>2.5237499999999934E-2</v>
      </c>
      <c r="M39" s="265">
        <v>35</v>
      </c>
      <c r="N39" s="272">
        <f t="shared" si="7"/>
        <v>5.2499999999999873E-3</v>
      </c>
    </row>
    <row r="40" spans="1:14" x14ac:dyDescent="0.3">
      <c r="A40" s="274">
        <v>36</v>
      </c>
      <c r="B40" s="287">
        <f t="shared" si="4"/>
        <v>1989</v>
      </c>
      <c r="C40" s="282">
        <f t="shared" si="5"/>
        <v>65148.870464822059</v>
      </c>
      <c r="D40" s="263"/>
      <c r="E40" s="283">
        <f t="shared" si="0"/>
        <v>66763.910963644987</v>
      </c>
      <c r="F40" s="258">
        <f t="shared" si="1"/>
        <v>33381.955481822493</v>
      </c>
      <c r="G40" s="258">
        <f t="shared" si="2"/>
        <v>7661.1587830782628</v>
      </c>
      <c r="H40" s="263">
        <f t="shared" si="3"/>
        <v>107807.02522854575</v>
      </c>
      <c r="J40" s="1">
        <v>36</v>
      </c>
      <c r="K40" s="7">
        <f t="shared" si="6"/>
        <v>2.4789999999999934E-2</v>
      </c>
      <c r="M40" s="1">
        <v>36</v>
      </c>
      <c r="N40" s="7">
        <f t="shared" si="7"/>
        <v>4.874999999999987E-3</v>
      </c>
    </row>
    <row r="41" spans="1:14" x14ac:dyDescent="0.3">
      <c r="A41" s="274">
        <v>37</v>
      </c>
      <c r="B41" s="274">
        <f t="shared" si="4"/>
        <v>1988</v>
      </c>
      <c r="C41" s="282">
        <f t="shared" si="5"/>
        <v>65442.040381913757</v>
      </c>
      <c r="D41" s="263"/>
      <c r="E41" s="283">
        <f t="shared" si="0"/>
        <v>67035.063249910483</v>
      </c>
      <c r="F41" s="258">
        <f t="shared" si="1"/>
        <v>33517.531624955242</v>
      </c>
      <c r="G41" s="258">
        <f t="shared" si="2"/>
        <v>7692.2735079272279</v>
      </c>
      <c r="H41" s="263">
        <f t="shared" si="3"/>
        <v>108244.86838279295</v>
      </c>
      <c r="J41" s="1">
        <v>37</v>
      </c>
      <c r="K41" s="7">
        <f t="shared" si="6"/>
        <v>2.4342499999999934E-2</v>
      </c>
      <c r="M41" s="1">
        <v>37</v>
      </c>
      <c r="N41" s="7">
        <f t="shared" si="7"/>
        <v>4.4999999999999866E-3</v>
      </c>
    </row>
    <row r="42" spans="1:14" x14ac:dyDescent="0.3">
      <c r="A42" s="274">
        <v>38</v>
      </c>
      <c r="B42" s="274">
        <f t="shared" si="4"/>
        <v>1987</v>
      </c>
      <c r="C42" s="282">
        <f t="shared" si="5"/>
        <v>65711.988798489154</v>
      </c>
      <c r="D42" s="263"/>
      <c r="E42" s="283">
        <f t="shared" si="0"/>
        <v>67282.176770829043</v>
      </c>
      <c r="F42" s="258">
        <f t="shared" si="1"/>
        <v>33641.088385414521</v>
      </c>
      <c r="G42" s="258">
        <f t="shared" si="2"/>
        <v>7720.6297844526325</v>
      </c>
      <c r="H42" s="263">
        <f t="shared" si="3"/>
        <v>108643.89494069619</v>
      </c>
      <c r="J42" s="1">
        <v>38</v>
      </c>
      <c r="K42" s="7">
        <f t="shared" si="6"/>
        <v>2.3894999999999934E-2</v>
      </c>
      <c r="M42" s="1">
        <v>38</v>
      </c>
      <c r="N42" s="7">
        <f t="shared" si="7"/>
        <v>4.1249999999999863E-3</v>
      </c>
    </row>
    <row r="43" spans="1:14" x14ac:dyDescent="0.3">
      <c r="A43" s="274">
        <v>39</v>
      </c>
      <c r="B43" s="274">
        <f t="shared" si="4"/>
        <v>1986</v>
      </c>
      <c r="C43" s="282">
        <f t="shared" si="5"/>
        <v>65958.408756483492</v>
      </c>
      <c r="D43" s="263"/>
      <c r="E43" s="283">
        <f t="shared" si="0"/>
        <v>67504.968545801137</v>
      </c>
      <c r="F43" s="258">
        <f t="shared" si="1"/>
        <v>33752.484272900569</v>
      </c>
      <c r="G43" s="258">
        <f t="shared" si="2"/>
        <v>7746.1951406306807</v>
      </c>
      <c r="H43" s="263">
        <f t="shared" si="3"/>
        <v>109003.64795933239</v>
      </c>
      <c r="J43" s="1">
        <v>39</v>
      </c>
      <c r="K43" s="7">
        <f t="shared" si="6"/>
        <v>2.3447499999999934E-2</v>
      </c>
      <c r="M43" s="1">
        <v>39</v>
      </c>
      <c r="N43" s="7">
        <f t="shared" si="7"/>
        <v>3.7499999999999864E-3</v>
      </c>
    </row>
    <row r="44" spans="1:14" s="265" customFormat="1" x14ac:dyDescent="0.3">
      <c r="A44" s="284">
        <v>40</v>
      </c>
      <c r="B44" s="284">
        <f t="shared" si="4"/>
        <v>1985</v>
      </c>
      <c r="C44" s="285">
        <f t="shared" si="5"/>
        <v>66181.018386036623</v>
      </c>
      <c r="D44" s="269"/>
      <c r="E44" s="288">
        <f t="shared" si="0"/>
        <v>67703.181808915455</v>
      </c>
      <c r="F44" s="266">
        <f t="shared" si="1"/>
        <v>33851.590904457727</v>
      </c>
      <c r="G44" s="266">
        <f t="shared" si="2"/>
        <v>7768.9401125730483</v>
      </c>
      <c r="H44" s="269">
        <f t="shared" si="3"/>
        <v>109323.71282594623</v>
      </c>
      <c r="J44" s="265">
        <v>40</v>
      </c>
      <c r="K44" s="272">
        <f t="shared" si="6"/>
        <v>2.2999999999999934E-2</v>
      </c>
      <c r="M44" s="265">
        <v>40</v>
      </c>
      <c r="N44" s="272">
        <f t="shared" si="7"/>
        <v>3.3749999999999865E-3</v>
      </c>
    </row>
    <row r="45" spans="1:14" x14ac:dyDescent="0.3">
      <c r="N45" s="7"/>
    </row>
  </sheetData>
  <sheetProtection algorithmName="SHA-512" hashValue="opfGBkbYtLAeLXQ/Q19uWbzrcugQkaeFFDdWWEXufGF5KlW8POozIARfKHzHPO6gWPo2cKp+fkCs4mU4lRigQw==" saltValue="uuA6ty54lRjTYRAAuWb7Xw==" spinCount="100000" sheet="1" objects="1" scenarios="1"/>
  <mergeCells count="2">
    <mergeCell ref="B2:C2"/>
    <mergeCell ref="K2:P2"/>
  </mergeCells>
  <pageMargins left="0.7" right="0.7" top="0.75" bottom="0.75" header="0.3" footer="0.3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8BE33-375B-4E1D-AE5A-0DC12A1A2928}">
  <dimension ref="A2:Y45"/>
  <sheetViews>
    <sheetView zoomScaleNormal="100" workbookViewId="0">
      <selection activeCell="Y4" sqref="Y4"/>
    </sheetView>
  </sheetViews>
  <sheetFormatPr defaultColWidth="12.1796875" defaultRowHeight="13" x14ac:dyDescent="0.3"/>
  <cols>
    <col min="1" max="1" width="8.81640625" style="1" customWidth="1"/>
    <col min="2" max="2" width="9.1796875" style="1" customWidth="1"/>
    <col min="3" max="3" width="8.54296875" style="1" customWidth="1"/>
    <col min="4" max="4" width="8.1796875" style="1" hidden="1" customWidth="1"/>
    <col min="5" max="5" width="9.453125" style="1" customWidth="1"/>
    <col min="6" max="6" width="10.1796875" style="1" hidden="1" customWidth="1"/>
    <col min="7" max="7" width="2.81640625" style="1" hidden="1" customWidth="1"/>
    <col min="8" max="8" width="10.7265625" style="1" hidden="1" customWidth="1"/>
    <col min="9" max="9" width="10.54296875" style="1" hidden="1" customWidth="1"/>
    <col min="10" max="10" width="12.1796875" style="1" hidden="1" customWidth="1"/>
    <col min="11" max="11" width="2.81640625" style="1" hidden="1" customWidth="1"/>
    <col min="12" max="12" width="9.7265625" style="1" hidden="1" customWidth="1"/>
    <col min="13" max="13" width="10.1796875" style="1" hidden="1" customWidth="1"/>
    <col min="14" max="14" width="13" style="1" hidden="1" customWidth="1"/>
    <col min="15" max="15" width="0" style="1" hidden="1" customWidth="1"/>
    <col min="16" max="16" width="5.54296875" style="1" hidden="1" customWidth="1"/>
    <col min="17" max="17" width="8.7265625" style="1" hidden="1" customWidth="1"/>
    <col min="18" max="18" width="12.453125" style="1" hidden="1" customWidth="1"/>
    <col min="19" max="19" width="5.453125" style="1" hidden="1" customWidth="1"/>
    <col min="20" max="20" width="8.81640625" style="1" hidden="1" customWidth="1"/>
    <col min="21" max="21" width="12.453125" style="1" hidden="1" customWidth="1"/>
    <col min="22" max="23" width="0" style="1" hidden="1" customWidth="1"/>
    <col min="24" max="16384" width="12.1796875" style="1"/>
  </cols>
  <sheetData>
    <row r="2" spans="1:25" ht="30.65" customHeight="1" x14ac:dyDescent="0.3">
      <c r="B2" s="309" t="s">
        <v>69</v>
      </c>
      <c r="C2" s="309"/>
      <c r="D2" s="253"/>
      <c r="E2" s="254">
        <v>0.05</v>
      </c>
      <c r="F2" s="253"/>
      <c r="G2" s="309" t="s">
        <v>70</v>
      </c>
      <c r="H2" s="309"/>
      <c r="I2" s="309"/>
      <c r="J2" s="309"/>
      <c r="K2" s="309"/>
      <c r="L2" s="309"/>
      <c r="M2" s="309"/>
      <c r="N2" s="309"/>
      <c r="X2" s="310" t="s">
        <v>105</v>
      </c>
      <c r="Y2" s="310"/>
    </row>
    <row r="3" spans="1:25" s="255" customFormat="1" ht="39" x14ac:dyDescent="0.3">
      <c r="A3" s="255" t="s">
        <v>71</v>
      </c>
      <c r="B3" s="255" t="s">
        <v>16</v>
      </c>
      <c r="C3" s="255" t="s">
        <v>72</v>
      </c>
      <c r="D3" s="255" t="s">
        <v>73</v>
      </c>
      <c r="E3" s="255" t="s">
        <v>74</v>
      </c>
      <c r="F3" s="255" t="s">
        <v>75</v>
      </c>
      <c r="H3" s="255" t="s">
        <v>76</v>
      </c>
      <c r="I3" s="255" t="s">
        <v>77</v>
      </c>
      <c r="J3" s="255" t="s">
        <v>78</v>
      </c>
      <c r="L3" s="255" t="s">
        <v>79</v>
      </c>
      <c r="M3" s="255" t="s">
        <v>80</v>
      </c>
      <c r="N3" s="255" t="s">
        <v>81</v>
      </c>
      <c r="P3" s="1" t="s">
        <v>82</v>
      </c>
      <c r="Q3" s="256" t="s">
        <v>83</v>
      </c>
      <c r="R3" s="1" t="s">
        <v>84</v>
      </c>
      <c r="S3" s="255" t="s">
        <v>82</v>
      </c>
      <c r="T3" s="255" t="s">
        <v>85</v>
      </c>
      <c r="U3" s="255" t="s">
        <v>86</v>
      </c>
    </row>
    <row r="4" spans="1:25" x14ac:dyDescent="0.3">
      <c r="A4" s="1" t="s">
        <v>87</v>
      </c>
      <c r="B4" s="1">
        <v>2024</v>
      </c>
      <c r="C4" s="257">
        <v>41212</v>
      </c>
      <c r="D4" s="258"/>
      <c r="E4" s="259">
        <f t="shared" ref="E4:E44" si="0">SUM(C4*Q4)+C4</f>
        <v>42897.570800000001</v>
      </c>
      <c r="F4" s="6">
        <f t="shared" ref="F4:F44" si="1">SUM(E4-C4)/C4</f>
        <v>4.0900000000000034E-2</v>
      </c>
      <c r="G4" s="6"/>
      <c r="H4" s="258">
        <f t="shared" ref="H4:H44" si="2">SUM(C4*0.5)</f>
        <v>20606</v>
      </c>
      <c r="I4" s="258">
        <f>SUM(C4+H4)*0.0765</f>
        <v>4729.0770000000002</v>
      </c>
      <c r="J4" s="260">
        <f t="shared" ref="J4:J44" si="3">SUM(C4+H4+I4)</f>
        <v>66547.077000000005</v>
      </c>
      <c r="K4" s="261"/>
      <c r="L4" s="258">
        <f t="shared" ref="L4:L44" si="4">SUM(E4*0.5)</f>
        <v>21448.785400000001</v>
      </c>
      <c r="M4" s="258">
        <f>SUM(E4+L4)*0.0765</f>
        <v>4922.4962493000003</v>
      </c>
      <c r="N4" s="262">
        <f t="shared" ref="N4:N44" si="5">SUM(E4+L4+M4)</f>
        <v>69268.8524493</v>
      </c>
      <c r="P4" s="1">
        <v>0</v>
      </c>
      <c r="Q4" s="7">
        <v>4.0899999999999999E-2</v>
      </c>
      <c r="R4" s="9">
        <f>((0.0409-0.023)/40)</f>
        <v>4.4749999999999998E-4</v>
      </c>
      <c r="S4" s="1">
        <v>0</v>
      </c>
      <c r="T4" s="7">
        <v>0</v>
      </c>
      <c r="U4" s="9"/>
    </row>
    <row r="5" spans="1:25" x14ac:dyDescent="0.3">
      <c r="A5" s="1">
        <v>1</v>
      </c>
      <c r="B5" s="1">
        <f t="shared" ref="B5:B44" si="6">B4-1</f>
        <v>2023</v>
      </c>
      <c r="C5" s="258">
        <f t="shared" ref="C5:C44" si="7">SUM(C4*T5)+C4</f>
        <v>41953.815999999999</v>
      </c>
      <c r="D5" s="6">
        <f t="shared" ref="D5:D44" si="8">SUM(C5-C4)/C4</f>
        <v>1.7999999999999974E-2</v>
      </c>
      <c r="E5" s="258">
        <f t="shared" si="0"/>
        <v>43650.952741740002</v>
      </c>
      <c r="F5" s="6">
        <f t="shared" si="1"/>
        <v>4.0452500000000079E-2</v>
      </c>
      <c r="G5" s="6"/>
      <c r="H5" s="258">
        <f t="shared" si="2"/>
        <v>20976.907999999999</v>
      </c>
      <c r="I5" s="258">
        <f t="shared" ref="I5:I44" si="9">SUM(C5+H5)*0.0765</f>
        <v>4814.2003860000004</v>
      </c>
      <c r="J5" s="263">
        <f t="shared" si="3"/>
        <v>67744.924385999999</v>
      </c>
      <c r="K5" s="263"/>
      <c r="L5" s="258">
        <f t="shared" si="4"/>
        <v>21825.476370870001</v>
      </c>
      <c r="M5" s="258">
        <f t="shared" ref="M5:M44" si="10">SUM(E5+L5)*0.0765</f>
        <v>5008.9468271146652</v>
      </c>
      <c r="N5" s="263">
        <f t="shared" si="5"/>
        <v>70485.375939724661</v>
      </c>
      <c r="P5" s="1">
        <v>1</v>
      </c>
      <c r="Q5" s="7">
        <f t="shared" ref="Q5:Q44" si="11">Q4-$R$4</f>
        <v>4.0452500000000002E-2</v>
      </c>
      <c r="R5" s="264"/>
      <c r="S5" s="1">
        <v>1</v>
      </c>
      <c r="T5" s="7">
        <v>1.7999999999999999E-2</v>
      </c>
      <c r="U5" s="9">
        <f>((0.02-0.005)/40)</f>
        <v>3.7500000000000001E-4</v>
      </c>
    </row>
    <row r="6" spans="1:25" x14ac:dyDescent="0.3">
      <c r="A6" s="1">
        <v>2</v>
      </c>
      <c r="B6" s="1">
        <f t="shared" si="6"/>
        <v>2022</v>
      </c>
      <c r="C6" s="258">
        <f t="shared" si="7"/>
        <v>42693.252006999996</v>
      </c>
      <c r="D6" s="6">
        <f t="shared" si="8"/>
        <v>1.7624999999999919E-2</v>
      </c>
      <c r="E6" s="258">
        <f t="shared" si="0"/>
        <v>44401.195553540034</v>
      </c>
      <c r="F6" s="6">
        <f t="shared" si="1"/>
        <v>4.0005000000000082E-2</v>
      </c>
      <c r="G6" s="6"/>
      <c r="H6" s="258">
        <f t="shared" si="2"/>
        <v>21346.626003499998</v>
      </c>
      <c r="I6" s="258">
        <f t="shared" si="9"/>
        <v>4899.0506678032489</v>
      </c>
      <c r="J6" s="263">
        <f t="shared" si="3"/>
        <v>68938.928678303244</v>
      </c>
      <c r="K6" s="263"/>
      <c r="L6" s="258">
        <f t="shared" si="4"/>
        <v>22200.597776770017</v>
      </c>
      <c r="M6" s="258">
        <f t="shared" si="10"/>
        <v>5095.0371897687191</v>
      </c>
      <c r="N6" s="263">
        <f t="shared" si="5"/>
        <v>71696.830520078773</v>
      </c>
      <c r="P6" s="1">
        <v>2</v>
      </c>
      <c r="Q6" s="7">
        <f t="shared" si="11"/>
        <v>4.0004999999999999E-2</v>
      </c>
      <c r="S6" s="1">
        <v>2</v>
      </c>
      <c r="T6" s="7">
        <f t="shared" ref="T6:T44" si="12">T5-$U$5</f>
        <v>1.7624999999999998E-2</v>
      </c>
    </row>
    <row r="7" spans="1:25" x14ac:dyDescent="0.3">
      <c r="A7" s="1">
        <v>3</v>
      </c>
      <c r="B7" s="1">
        <f t="shared" si="6"/>
        <v>2021</v>
      </c>
      <c r="C7" s="258">
        <f t="shared" si="7"/>
        <v>43429.710604120744</v>
      </c>
      <c r="D7" s="6">
        <f t="shared" si="8"/>
        <v>1.7249999999999977E-2</v>
      </c>
      <c r="E7" s="258">
        <f t="shared" si="0"/>
        <v>45147.681381343253</v>
      </c>
      <c r="F7" s="6">
        <f t="shared" si="1"/>
        <v>3.9557500000000044E-2</v>
      </c>
      <c r="G7" s="6"/>
      <c r="H7" s="258">
        <f t="shared" si="2"/>
        <v>21714.855302060372</v>
      </c>
      <c r="I7" s="258">
        <f t="shared" si="9"/>
        <v>4983.5592918228549</v>
      </c>
      <c r="J7" s="263">
        <f t="shared" si="3"/>
        <v>70128.125198003967</v>
      </c>
      <c r="K7" s="263"/>
      <c r="L7" s="258">
        <f t="shared" si="4"/>
        <v>22573.840690671626</v>
      </c>
      <c r="M7" s="258">
        <f t="shared" si="10"/>
        <v>5180.6964385091378</v>
      </c>
      <c r="N7" s="263">
        <f t="shared" si="5"/>
        <v>72902.218510524021</v>
      </c>
      <c r="P7" s="1">
        <v>3</v>
      </c>
      <c r="Q7" s="7">
        <f t="shared" si="11"/>
        <v>3.9557499999999995E-2</v>
      </c>
      <c r="S7" s="1">
        <v>3</v>
      </c>
      <c r="T7" s="7">
        <f t="shared" si="12"/>
        <v>1.7249999999999998E-2</v>
      </c>
    </row>
    <row r="8" spans="1:25" x14ac:dyDescent="0.3">
      <c r="A8" s="1">
        <v>4</v>
      </c>
      <c r="B8" s="1">
        <f t="shared" si="6"/>
        <v>2020</v>
      </c>
      <c r="C8" s="258">
        <f t="shared" si="7"/>
        <v>44162.58697056528</v>
      </c>
      <c r="D8" s="6">
        <f t="shared" si="8"/>
        <v>1.6874999999999963E-2</v>
      </c>
      <c r="E8" s="258">
        <f t="shared" si="0"/>
        <v>45889.785746984089</v>
      </c>
      <c r="F8" s="6">
        <f t="shared" si="1"/>
        <v>3.911000000000002E-2</v>
      </c>
      <c r="G8" s="6"/>
      <c r="H8" s="258">
        <f t="shared" si="2"/>
        <v>22081.29348528264</v>
      </c>
      <c r="I8" s="258">
        <f t="shared" si="9"/>
        <v>5067.6568548723653</v>
      </c>
      <c r="J8" s="263">
        <f t="shared" si="3"/>
        <v>71311.537310720276</v>
      </c>
      <c r="K8" s="263"/>
      <c r="L8" s="258">
        <f t="shared" si="4"/>
        <v>22944.892873492045</v>
      </c>
      <c r="M8" s="258">
        <f t="shared" si="10"/>
        <v>5265.8529144664235</v>
      </c>
      <c r="N8" s="263">
        <f t="shared" si="5"/>
        <v>74100.531534942551</v>
      </c>
      <c r="P8" s="1">
        <v>4</v>
      </c>
      <c r="Q8" s="7">
        <f t="shared" si="11"/>
        <v>3.9109999999999992E-2</v>
      </c>
      <c r="S8" s="1">
        <v>4</v>
      </c>
      <c r="T8" s="7">
        <f t="shared" si="12"/>
        <v>1.6874999999999998E-2</v>
      </c>
    </row>
    <row r="9" spans="1:25" s="270" customFormat="1" x14ac:dyDescent="0.3">
      <c r="A9" s="265">
        <v>5</v>
      </c>
      <c r="B9" s="265">
        <f t="shared" si="6"/>
        <v>2019</v>
      </c>
      <c r="C9" s="266">
        <f t="shared" si="7"/>
        <v>44891.269655579606</v>
      </c>
      <c r="D9" s="267">
        <f t="shared" si="8"/>
        <v>1.6499999999999976E-2</v>
      </c>
      <c r="E9" s="266">
        <f t="shared" si="0"/>
        <v>46626.878368638456</v>
      </c>
      <c r="F9" s="267">
        <f t="shared" si="1"/>
        <v>3.8662500000000065E-2</v>
      </c>
      <c r="G9" s="267"/>
      <c r="H9" s="266">
        <f t="shared" si="2"/>
        <v>22445.634827789803</v>
      </c>
      <c r="I9" s="268">
        <f t="shared" si="9"/>
        <v>5151.2731929777592</v>
      </c>
      <c r="J9" s="269">
        <f t="shared" si="3"/>
        <v>72488.177676347172</v>
      </c>
      <c r="K9" s="269"/>
      <c r="L9" s="266">
        <f t="shared" si="4"/>
        <v>23313.439184319228</v>
      </c>
      <c r="M9" s="268">
        <f t="shared" si="10"/>
        <v>5350.4342928012629</v>
      </c>
      <c r="N9" s="269">
        <f t="shared" si="5"/>
        <v>75290.751845758947</v>
      </c>
      <c r="P9" s="270">
        <v>5</v>
      </c>
      <c r="Q9" s="271">
        <f t="shared" si="11"/>
        <v>3.8662499999999989E-2</v>
      </c>
      <c r="S9" s="270">
        <v>5</v>
      </c>
      <c r="T9" s="271">
        <f t="shared" si="12"/>
        <v>1.6499999999999997E-2</v>
      </c>
    </row>
    <row r="10" spans="1:25" x14ac:dyDescent="0.3">
      <c r="A10" s="1">
        <v>6</v>
      </c>
      <c r="B10" s="14">
        <f t="shared" si="6"/>
        <v>2018</v>
      </c>
      <c r="C10" s="258">
        <f t="shared" si="7"/>
        <v>45615.141378775828</v>
      </c>
      <c r="D10" s="6">
        <f t="shared" si="8"/>
        <v>1.6125000000000014E-2</v>
      </c>
      <c r="E10" s="258">
        <f t="shared" si="0"/>
        <v>47358.324006565745</v>
      </c>
      <c r="F10" s="6">
        <f t="shared" si="1"/>
        <v>3.8214999999999957E-2</v>
      </c>
      <c r="G10" s="6"/>
      <c r="H10" s="258">
        <f t="shared" si="2"/>
        <v>22807.570689387914</v>
      </c>
      <c r="I10" s="258">
        <f t="shared" si="9"/>
        <v>5234.3374732145267</v>
      </c>
      <c r="J10" s="263">
        <f t="shared" si="3"/>
        <v>73657.049541378277</v>
      </c>
      <c r="K10" s="263"/>
      <c r="L10" s="258">
        <f t="shared" si="4"/>
        <v>23679.162003282872</v>
      </c>
      <c r="M10" s="258">
        <f t="shared" si="10"/>
        <v>5434.3676797534199</v>
      </c>
      <c r="N10" s="263">
        <f t="shared" si="5"/>
        <v>76471.853689602038</v>
      </c>
      <c r="P10" s="1">
        <v>6</v>
      </c>
      <c r="Q10" s="7">
        <f t="shared" si="11"/>
        <v>3.8214999999999985E-2</v>
      </c>
      <c r="S10" s="1">
        <v>6</v>
      </c>
      <c r="T10" s="7">
        <f t="shared" si="12"/>
        <v>1.6124999999999997E-2</v>
      </c>
    </row>
    <row r="11" spans="1:25" x14ac:dyDescent="0.3">
      <c r="A11" s="1">
        <v>7</v>
      </c>
      <c r="B11" s="1">
        <f t="shared" si="6"/>
        <v>2017</v>
      </c>
      <c r="C11" s="258">
        <f t="shared" si="7"/>
        <v>46333.579855491545</v>
      </c>
      <c r="D11" s="6">
        <f t="shared" si="8"/>
        <v>1.5749999999999952E-2</v>
      </c>
      <c r="E11" s="258">
        <f t="shared" si="0"/>
        <v>48083.48333268382</v>
      </c>
      <c r="F11" s="6">
        <f t="shared" si="1"/>
        <v>3.776749999999994E-2</v>
      </c>
      <c r="G11" s="6"/>
      <c r="H11" s="258">
        <f t="shared" si="2"/>
        <v>23166.789927745773</v>
      </c>
      <c r="I11" s="258">
        <f t="shared" si="9"/>
        <v>5316.778288417654</v>
      </c>
      <c r="J11" s="263">
        <f t="shared" si="3"/>
        <v>74817.14807165497</v>
      </c>
      <c r="K11" s="263"/>
      <c r="L11" s="258">
        <f t="shared" si="4"/>
        <v>24041.74166634191</v>
      </c>
      <c r="M11" s="258">
        <f t="shared" si="10"/>
        <v>5517.5797124254677</v>
      </c>
      <c r="N11" s="263">
        <f t="shared" si="5"/>
        <v>77642.804711451201</v>
      </c>
      <c r="P11" s="1">
        <v>7</v>
      </c>
      <c r="Q11" s="7">
        <f t="shared" si="11"/>
        <v>3.7767499999999982E-2</v>
      </c>
      <c r="S11" s="1">
        <v>7</v>
      </c>
      <c r="T11" s="7">
        <f t="shared" si="12"/>
        <v>1.5749999999999997E-2</v>
      </c>
    </row>
    <row r="12" spans="1:25" x14ac:dyDescent="0.3">
      <c r="A12" s="1">
        <v>8</v>
      </c>
      <c r="B12" s="1">
        <f t="shared" si="6"/>
        <v>2016</v>
      </c>
      <c r="C12" s="258">
        <f t="shared" si="7"/>
        <v>47045.95864576973</v>
      </c>
      <c r="D12" s="6">
        <f t="shared" si="8"/>
        <v>1.5375000000000036E-2</v>
      </c>
      <c r="E12" s="258">
        <f t="shared" si="0"/>
        <v>48801.713822429854</v>
      </c>
      <c r="F12" s="6">
        <f t="shared" si="1"/>
        <v>3.7319999999999964E-2</v>
      </c>
      <c r="G12" s="6"/>
      <c r="H12" s="258">
        <f t="shared" si="2"/>
        <v>23522.979322884865</v>
      </c>
      <c r="I12" s="258">
        <f t="shared" si="9"/>
        <v>5398.5237546020762</v>
      </c>
      <c r="J12" s="263">
        <f t="shared" si="3"/>
        <v>75967.461723256667</v>
      </c>
      <c r="K12" s="263"/>
      <c r="L12" s="258">
        <f t="shared" si="4"/>
        <v>24400.856911214927</v>
      </c>
      <c r="M12" s="258">
        <f t="shared" si="10"/>
        <v>5599.996661123826</v>
      </c>
      <c r="N12" s="263">
        <f t="shared" si="5"/>
        <v>78802.567394768601</v>
      </c>
      <c r="P12" s="1">
        <v>8</v>
      </c>
      <c r="Q12" s="7">
        <f t="shared" si="11"/>
        <v>3.7319999999999978E-2</v>
      </c>
      <c r="S12" s="1">
        <v>8</v>
      </c>
      <c r="T12" s="7">
        <f t="shared" si="12"/>
        <v>1.5374999999999996E-2</v>
      </c>
    </row>
    <row r="13" spans="1:25" x14ac:dyDescent="0.3">
      <c r="A13" s="1">
        <v>9</v>
      </c>
      <c r="B13" s="1">
        <f t="shared" si="6"/>
        <v>2015</v>
      </c>
      <c r="C13" s="258">
        <f t="shared" si="7"/>
        <v>47751.648025456278</v>
      </c>
      <c r="D13" s="6">
        <f t="shared" si="8"/>
        <v>1.5000000000000041E-2</v>
      </c>
      <c r="E13" s="258">
        <f t="shared" si="0"/>
        <v>49512.37066727491</v>
      </c>
      <c r="F13" s="6">
        <f t="shared" si="1"/>
        <v>3.6872499999999919E-2</v>
      </c>
      <c r="G13" s="6"/>
      <c r="H13" s="258">
        <f t="shared" si="2"/>
        <v>23875.824012728139</v>
      </c>
      <c r="I13" s="258">
        <f t="shared" si="9"/>
        <v>5479.5016109211074</v>
      </c>
      <c r="J13" s="263">
        <f t="shared" si="3"/>
        <v>77106.973649105523</v>
      </c>
      <c r="K13" s="263"/>
      <c r="L13" s="258">
        <f t="shared" si="4"/>
        <v>24756.185333637455</v>
      </c>
      <c r="M13" s="258">
        <f t="shared" si="10"/>
        <v>5681.5445340697952</v>
      </c>
      <c r="N13" s="263">
        <f t="shared" si="5"/>
        <v>79950.10053498215</v>
      </c>
      <c r="P13" s="1">
        <v>9</v>
      </c>
      <c r="Q13" s="7">
        <f t="shared" si="11"/>
        <v>3.6872499999999975E-2</v>
      </c>
      <c r="S13" s="1">
        <v>9</v>
      </c>
      <c r="T13" s="7">
        <f t="shared" si="12"/>
        <v>1.4999999999999996E-2</v>
      </c>
    </row>
    <row r="14" spans="1:25" s="265" customFormat="1" x14ac:dyDescent="0.3">
      <c r="A14" s="265">
        <v>10</v>
      </c>
      <c r="B14" s="265">
        <f t="shared" si="6"/>
        <v>2014</v>
      </c>
      <c r="C14" s="266">
        <f t="shared" si="7"/>
        <v>48450.015877828577</v>
      </c>
      <c r="D14" s="267">
        <f t="shared" si="8"/>
        <v>1.4625000000000025E-2</v>
      </c>
      <c r="E14" s="266">
        <f t="shared" si="0"/>
        <v>50214.807706178479</v>
      </c>
      <c r="F14" s="267">
        <f t="shared" si="1"/>
        <v>3.6424999999999923E-2</v>
      </c>
      <c r="G14" s="267"/>
      <c r="H14" s="266">
        <f t="shared" si="2"/>
        <v>24225.007938914288</v>
      </c>
      <c r="I14" s="266">
        <f t="shared" si="9"/>
        <v>5559.6393219808288</v>
      </c>
      <c r="J14" s="269">
        <f t="shared" si="3"/>
        <v>78234.663138723685</v>
      </c>
      <c r="K14" s="269"/>
      <c r="L14" s="266">
        <f t="shared" si="4"/>
        <v>25107.403853089239</v>
      </c>
      <c r="M14" s="266">
        <f t="shared" si="10"/>
        <v>5762.1491842839805</v>
      </c>
      <c r="N14" s="269">
        <f t="shared" si="5"/>
        <v>81084.36074355169</v>
      </c>
      <c r="P14" s="265">
        <v>10</v>
      </c>
      <c r="Q14" s="272">
        <f t="shared" si="11"/>
        <v>3.6424999999999971E-2</v>
      </c>
      <c r="S14" s="265">
        <v>10</v>
      </c>
      <c r="T14" s="272">
        <f t="shared" si="12"/>
        <v>1.4624999999999996E-2</v>
      </c>
    </row>
    <row r="15" spans="1:25" x14ac:dyDescent="0.3">
      <c r="A15" s="1">
        <v>11</v>
      </c>
      <c r="B15" s="14">
        <f t="shared" si="6"/>
        <v>2013</v>
      </c>
      <c r="C15" s="258">
        <f t="shared" si="7"/>
        <v>49140.428604087632</v>
      </c>
      <c r="D15" s="6">
        <f t="shared" si="8"/>
        <v>1.4249999999999964E-2</v>
      </c>
      <c r="E15" s="258">
        <f t="shared" si="0"/>
        <v>50908.37837419119</v>
      </c>
      <c r="F15" s="6">
        <f t="shared" si="1"/>
        <v>3.5977499999999898E-2</v>
      </c>
      <c r="G15" s="6"/>
      <c r="H15" s="258">
        <f t="shared" si="2"/>
        <v>24570.214302043816</v>
      </c>
      <c r="I15" s="258">
        <f t="shared" si="9"/>
        <v>5638.8641823190565</v>
      </c>
      <c r="J15" s="263">
        <f t="shared" si="3"/>
        <v>79349.507088450511</v>
      </c>
      <c r="K15" s="263"/>
      <c r="L15" s="258">
        <f t="shared" si="4"/>
        <v>25454.189187095595</v>
      </c>
      <c r="M15" s="258">
        <f t="shared" si="10"/>
        <v>5841.7364184384396</v>
      </c>
      <c r="N15" s="263">
        <f t="shared" si="5"/>
        <v>82204.303979725228</v>
      </c>
      <c r="P15" s="1">
        <v>11</v>
      </c>
      <c r="Q15" s="7">
        <f t="shared" si="11"/>
        <v>3.5977499999999968E-2</v>
      </c>
      <c r="S15" s="1">
        <v>11</v>
      </c>
      <c r="T15" s="7">
        <f t="shared" si="12"/>
        <v>1.4249999999999995E-2</v>
      </c>
    </row>
    <row r="16" spans="1:25" x14ac:dyDescent="0.3">
      <c r="A16" s="1">
        <v>12</v>
      </c>
      <c r="B16" s="1">
        <f t="shared" si="6"/>
        <v>2012</v>
      </c>
      <c r="C16" s="258">
        <f t="shared" si="7"/>
        <v>49822.25205096935</v>
      </c>
      <c r="D16" s="6">
        <f t="shared" si="8"/>
        <v>1.3875000000000028E-2</v>
      </c>
      <c r="E16" s="258">
        <f t="shared" si="0"/>
        <v>51592.436666340291</v>
      </c>
      <c r="F16" s="6">
        <f t="shared" si="1"/>
        <v>3.5530000000000006E-2</v>
      </c>
      <c r="G16" s="6"/>
      <c r="H16" s="258">
        <f t="shared" si="2"/>
        <v>24911.126025484675</v>
      </c>
      <c r="I16" s="258">
        <f t="shared" si="9"/>
        <v>5717.1034228487333</v>
      </c>
      <c r="J16" s="263">
        <f t="shared" si="3"/>
        <v>80450.481499302754</v>
      </c>
      <c r="K16" s="263"/>
      <c r="L16" s="258">
        <f t="shared" si="4"/>
        <v>25796.218333170145</v>
      </c>
      <c r="M16" s="258">
        <f t="shared" si="10"/>
        <v>5920.2321074625488</v>
      </c>
      <c r="N16" s="263">
        <f t="shared" si="5"/>
        <v>83308.887106972994</v>
      </c>
      <c r="P16" s="1">
        <v>12</v>
      </c>
      <c r="Q16" s="7">
        <f t="shared" si="11"/>
        <v>3.5529999999999964E-2</v>
      </c>
      <c r="S16" s="1">
        <v>12</v>
      </c>
      <c r="T16" s="7">
        <f t="shared" si="12"/>
        <v>1.3874999999999995E-2</v>
      </c>
    </row>
    <row r="17" spans="1:20" x14ac:dyDescent="0.3">
      <c r="A17" s="1">
        <v>13</v>
      </c>
      <c r="B17" s="1">
        <f t="shared" si="6"/>
        <v>2011</v>
      </c>
      <c r="C17" s="258">
        <f t="shared" si="7"/>
        <v>50494.852453657433</v>
      </c>
      <c r="D17" s="6">
        <f t="shared" si="8"/>
        <v>1.349999999999995E-2</v>
      </c>
      <c r="E17" s="258">
        <f t="shared" si="0"/>
        <v>52266.338114862869</v>
      </c>
      <c r="F17" s="6">
        <f t="shared" si="1"/>
        <v>3.5082499999999975E-2</v>
      </c>
      <c r="G17" s="6"/>
      <c r="H17" s="258">
        <f t="shared" si="2"/>
        <v>25247.426226828717</v>
      </c>
      <c r="I17" s="258">
        <f t="shared" si="9"/>
        <v>5794.2843190571903</v>
      </c>
      <c r="J17" s="263">
        <f t="shared" si="3"/>
        <v>81536.562999543341</v>
      </c>
      <c r="K17" s="263"/>
      <c r="L17" s="258">
        <f t="shared" si="4"/>
        <v>26133.169057431434</v>
      </c>
      <c r="M17" s="258">
        <f t="shared" si="10"/>
        <v>5997.5622986805147</v>
      </c>
      <c r="N17" s="263">
        <f t="shared" si="5"/>
        <v>84397.06947097482</v>
      </c>
      <c r="P17" s="1">
        <v>13</v>
      </c>
      <c r="Q17" s="7">
        <f t="shared" si="11"/>
        <v>3.5082499999999961E-2</v>
      </c>
      <c r="S17" s="1">
        <v>13</v>
      </c>
      <c r="T17" s="7">
        <f t="shared" si="12"/>
        <v>1.3499999999999995E-2</v>
      </c>
    </row>
    <row r="18" spans="1:20" x14ac:dyDescent="0.3">
      <c r="A18" s="1">
        <v>14</v>
      </c>
      <c r="B18" s="1">
        <f t="shared" si="6"/>
        <v>2010</v>
      </c>
      <c r="C18" s="258">
        <f t="shared" si="7"/>
        <v>51157.597392111689</v>
      </c>
      <c r="D18" s="6">
        <f t="shared" si="8"/>
        <v>1.3125000000000045E-2</v>
      </c>
      <c r="E18" s="258">
        <f t="shared" si="0"/>
        <v>52929.440777787473</v>
      </c>
      <c r="F18" s="6">
        <f t="shared" si="1"/>
        <v>3.4634999999999909E-2</v>
      </c>
      <c r="G18" s="6"/>
      <c r="H18" s="258">
        <f t="shared" si="2"/>
        <v>25578.798696055845</v>
      </c>
      <c r="I18" s="258">
        <f t="shared" si="9"/>
        <v>5870.3343007448157</v>
      </c>
      <c r="J18" s="263">
        <f t="shared" si="3"/>
        <v>82606.730388912343</v>
      </c>
      <c r="K18" s="263"/>
      <c r="L18" s="258">
        <f t="shared" si="4"/>
        <v>26464.720388893737</v>
      </c>
      <c r="M18" s="258">
        <f t="shared" si="10"/>
        <v>6073.6533292511122</v>
      </c>
      <c r="N18" s="263">
        <f t="shared" si="5"/>
        <v>85467.814495932325</v>
      </c>
      <c r="P18" s="1">
        <v>14</v>
      </c>
      <c r="Q18" s="7">
        <f t="shared" si="11"/>
        <v>3.4634999999999957E-2</v>
      </c>
      <c r="S18" s="1">
        <v>14</v>
      </c>
      <c r="T18" s="7">
        <f t="shared" si="12"/>
        <v>1.3124999999999994E-2</v>
      </c>
    </row>
    <row r="19" spans="1:20" s="265" customFormat="1" x14ac:dyDescent="0.3">
      <c r="A19" s="265">
        <v>15</v>
      </c>
      <c r="B19" s="265">
        <f t="shared" si="6"/>
        <v>2009</v>
      </c>
      <c r="C19" s="266">
        <f t="shared" si="7"/>
        <v>51809.856758861111</v>
      </c>
      <c r="D19" s="267">
        <f t="shared" si="8"/>
        <v>1.2749999999999961E-2</v>
      </c>
      <c r="E19" s="266">
        <f t="shared" si="0"/>
        <v>53581.10623680467</v>
      </c>
      <c r="F19" s="267">
        <f t="shared" si="1"/>
        <v>3.4187499999999885E-2</v>
      </c>
      <c r="G19" s="267"/>
      <c r="H19" s="266">
        <f t="shared" si="2"/>
        <v>25904.928379430556</v>
      </c>
      <c r="I19" s="266">
        <f t="shared" si="9"/>
        <v>5945.1810630793125</v>
      </c>
      <c r="J19" s="269">
        <f t="shared" si="3"/>
        <v>83659.966201370989</v>
      </c>
      <c r="K19" s="269"/>
      <c r="L19" s="266">
        <f t="shared" si="4"/>
        <v>26790.553118402335</v>
      </c>
      <c r="M19" s="266">
        <f t="shared" si="10"/>
        <v>6148.4319406733348</v>
      </c>
      <c r="N19" s="269">
        <f t="shared" si="5"/>
        <v>86520.091295880338</v>
      </c>
      <c r="P19" s="265">
        <v>15</v>
      </c>
      <c r="Q19" s="272">
        <f t="shared" si="11"/>
        <v>3.4187499999999954E-2</v>
      </c>
      <c r="S19" s="265">
        <v>15</v>
      </c>
      <c r="T19" s="272">
        <f t="shared" si="12"/>
        <v>1.2749999999999994E-2</v>
      </c>
    </row>
    <row r="20" spans="1:20" x14ac:dyDescent="0.3">
      <c r="A20" s="1">
        <v>16</v>
      </c>
      <c r="B20" s="14">
        <f t="shared" si="6"/>
        <v>2008</v>
      </c>
      <c r="C20" s="258">
        <f t="shared" si="7"/>
        <v>52451.003736252016</v>
      </c>
      <c r="D20" s="6">
        <f t="shared" si="8"/>
        <v>1.2374999999999971E-2</v>
      </c>
      <c r="E20" s="258">
        <f t="shared" si="0"/>
        <v>54220.700602313154</v>
      </c>
      <c r="F20" s="6">
        <f t="shared" si="1"/>
        <v>3.3739999999999909E-2</v>
      </c>
      <c r="G20" s="6"/>
      <c r="H20" s="258">
        <f t="shared" si="2"/>
        <v>26225.501868126008</v>
      </c>
      <c r="I20" s="258">
        <f t="shared" si="9"/>
        <v>6018.7526787349188</v>
      </c>
      <c r="J20" s="263">
        <f t="shared" si="3"/>
        <v>84695.25828311294</v>
      </c>
      <c r="K20" s="263"/>
      <c r="L20" s="258">
        <f t="shared" si="4"/>
        <v>27110.350301156577</v>
      </c>
      <c r="M20" s="258">
        <f t="shared" si="10"/>
        <v>6221.8253941154344</v>
      </c>
      <c r="N20" s="263">
        <f t="shared" si="5"/>
        <v>87552.876297585171</v>
      </c>
      <c r="P20" s="1">
        <v>16</v>
      </c>
      <c r="Q20" s="7">
        <f t="shared" si="11"/>
        <v>3.3739999999999951E-2</v>
      </c>
      <c r="S20" s="1">
        <v>16</v>
      </c>
      <c r="T20" s="7">
        <f t="shared" si="12"/>
        <v>1.2374999999999994E-2</v>
      </c>
    </row>
    <row r="21" spans="1:20" x14ac:dyDescent="0.3">
      <c r="A21" s="1">
        <v>17</v>
      </c>
      <c r="B21" s="1">
        <f t="shared" si="6"/>
        <v>2007</v>
      </c>
      <c r="C21" s="258">
        <f t="shared" si="7"/>
        <v>53080.415781087038</v>
      </c>
      <c r="D21" s="6">
        <f t="shared" si="8"/>
        <v>1.1999999999999962E-2</v>
      </c>
      <c r="E21" s="258">
        <f t="shared" si="0"/>
        <v>54847.595523478878</v>
      </c>
      <c r="F21" s="6">
        <f t="shared" si="1"/>
        <v>3.3292499999999989E-2</v>
      </c>
      <c r="G21" s="6"/>
      <c r="H21" s="258">
        <f t="shared" si="2"/>
        <v>26540.207890543519</v>
      </c>
      <c r="I21" s="258">
        <f t="shared" si="9"/>
        <v>6090.977710879738</v>
      </c>
      <c r="J21" s="263">
        <f t="shared" si="3"/>
        <v>85711.6013825103</v>
      </c>
      <c r="K21" s="263"/>
      <c r="L21" s="258">
        <f t="shared" si="4"/>
        <v>27423.797761739439</v>
      </c>
      <c r="M21" s="258">
        <f t="shared" si="10"/>
        <v>6293.7615863192013</v>
      </c>
      <c r="N21" s="263">
        <f t="shared" si="5"/>
        <v>88565.154871537525</v>
      </c>
      <c r="P21" s="1">
        <v>17</v>
      </c>
      <c r="Q21" s="7">
        <f t="shared" si="11"/>
        <v>3.3292499999999947E-2</v>
      </c>
      <c r="S21" s="1">
        <v>17</v>
      </c>
      <c r="T21" s="7">
        <f t="shared" si="12"/>
        <v>1.1999999999999993E-2</v>
      </c>
    </row>
    <row r="22" spans="1:20" x14ac:dyDescent="0.3">
      <c r="A22" s="1">
        <v>18</v>
      </c>
      <c r="B22" s="1">
        <f t="shared" si="6"/>
        <v>2006</v>
      </c>
      <c r="C22" s="258">
        <f t="shared" si="7"/>
        <v>53697.475614542178</v>
      </c>
      <c r="D22" s="6">
        <f t="shared" si="8"/>
        <v>1.1625000000000052E-2</v>
      </c>
      <c r="E22" s="258">
        <f t="shared" si="0"/>
        <v>55461.169201101809</v>
      </c>
      <c r="F22" s="6">
        <f t="shared" si="1"/>
        <v>3.2844999999999881E-2</v>
      </c>
      <c r="G22" s="6"/>
      <c r="H22" s="258">
        <f t="shared" si="2"/>
        <v>26848.737807271089</v>
      </c>
      <c r="I22" s="258">
        <f t="shared" si="9"/>
        <v>6161.7853267687151</v>
      </c>
      <c r="J22" s="263">
        <f t="shared" si="3"/>
        <v>86707.998748581987</v>
      </c>
      <c r="K22" s="263"/>
      <c r="L22" s="258">
        <f t="shared" si="4"/>
        <v>27730.584600550905</v>
      </c>
      <c r="M22" s="258">
        <f t="shared" si="10"/>
        <v>6364.1691658264326</v>
      </c>
      <c r="N22" s="263">
        <f t="shared" si="5"/>
        <v>89555.922967479142</v>
      </c>
      <c r="P22" s="1">
        <v>18</v>
      </c>
      <c r="Q22" s="7">
        <f t="shared" si="11"/>
        <v>3.2844999999999944E-2</v>
      </c>
      <c r="S22" s="1">
        <v>18</v>
      </c>
      <c r="T22" s="7">
        <f t="shared" si="12"/>
        <v>1.1624999999999993E-2</v>
      </c>
    </row>
    <row r="23" spans="1:20" x14ac:dyDescent="0.3">
      <c r="A23" s="1">
        <v>19</v>
      </c>
      <c r="B23" s="1">
        <f t="shared" si="6"/>
        <v>2005</v>
      </c>
      <c r="C23" s="258">
        <f t="shared" si="7"/>
        <v>54301.572215205779</v>
      </c>
      <c r="D23" s="6">
        <f t="shared" si="8"/>
        <v>1.1250000000000026E-2</v>
      </c>
      <c r="E23" s="258">
        <f t="shared" si="0"/>
        <v>56060.807401047903</v>
      </c>
      <c r="F23" s="6">
        <f t="shared" si="1"/>
        <v>3.2397499999999912E-2</v>
      </c>
      <c r="G23" s="6"/>
      <c r="H23" s="258">
        <f t="shared" si="2"/>
        <v>27150.786107602889</v>
      </c>
      <c r="I23" s="258">
        <f t="shared" si="9"/>
        <v>6231.1054116948626</v>
      </c>
      <c r="J23" s="263">
        <f t="shared" si="3"/>
        <v>87683.46373450353</v>
      </c>
      <c r="K23" s="263"/>
      <c r="L23" s="258">
        <f t="shared" si="4"/>
        <v>28030.403700523952</v>
      </c>
      <c r="M23" s="258">
        <f t="shared" si="10"/>
        <v>6432.9776492702467</v>
      </c>
      <c r="N23" s="263">
        <f t="shared" si="5"/>
        <v>90524.188750842106</v>
      </c>
      <c r="P23" s="1">
        <v>19</v>
      </c>
      <c r="Q23" s="7">
        <f t="shared" si="11"/>
        <v>3.239749999999994E-2</v>
      </c>
      <c r="S23" s="1">
        <v>19</v>
      </c>
      <c r="T23" s="7">
        <f t="shared" si="12"/>
        <v>1.1249999999999993E-2</v>
      </c>
    </row>
    <row r="24" spans="1:20" s="265" customFormat="1" x14ac:dyDescent="0.3">
      <c r="A24" s="265">
        <v>20</v>
      </c>
      <c r="B24" s="265">
        <f t="shared" si="6"/>
        <v>2004</v>
      </c>
      <c r="C24" s="266">
        <f t="shared" si="7"/>
        <v>54892.101813046138</v>
      </c>
      <c r="D24" s="267">
        <f t="shared" si="8"/>
        <v>1.0874999999999933E-2</v>
      </c>
      <c r="E24" s="266">
        <f t="shared" si="0"/>
        <v>56645.904465972955</v>
      </c>
      <c r="F24" s="267">
        <f t="shared" si="1"/>
        <v>3.1949999999999874E-2</v>
      </c>
      <c r="G24" s="267"/>
      <c r="H24" s="266">
        <f t="shared" si="2"/>
        <v>27446.050906523069</v>
      </c>
      <c r="I24" s="266">
        <f t="shared" si="9"/>
        <v>6298.8686830470442</v>
      </c>
      <c r="J24" s="269">
        <f t="shared" si="3"/>
        <v>88637.021402616243</v>
      </c>
      <c r="K24" s="269"/>
      <c r="L24" s="266">
        <f t="shared" si="4"/>
        <v>28322.952232986478</v>
      </c>
      <c r="M24" s="266">
        <f t="shared" si="10"/>
        <v>6500.1175374703962</v>
      </c>
      <c r="N24" s="269">
        <f t="shared" si="5"/>
        <v>91468.974236429814</v>
      </c>
      <c r="P24" s="265">
        <v>20</v>
      </c>
      <c r="Q24" s="272">
        <f t="shared" si="11"/>
        <v>3.1949999999999937E-2</v>
      </c>
      <c r="S24" s="265">
        <v>20</v>
      </c>
      <c r="T24" s="272">
        <f t="shared" si="12"/>
        <v>1.0874999999999992E-2</v>
      </c>
    </row>
    <row r="25" spans="1:20" x14ac:dyDescent="0.3">
      <c r="A25" s="1">
        <v>21</v>
      </c>
      <c r="B25" s="14">
        <f t="shared" si="6"/>
        <v>2003</v>
      </c>
      <c r="C25" s="258">
        <f t="shared" si="7"/>
        <v>55468.468882083122</v>
      </c>
      <c r="D25" s="6">
        <f t="shared" si="8"/>
        <v>1.0499999999999985E-2</v>
      </c>
      <c r="E25" s="258">
        <f t="shared" si="0"/>
        <v>57215.864323040943</v>
      </c>
      <c r="F25" s="6">
        <f t="shared" si="1"/>
        <v>3.1502499999999968E-2</v>
      </c>
      <c r="G25" s="6"/>
      <c r="H25" s="258">
        <f t="shared" si="2"/>
        <v>27734.234441041561</v>
      </c>
      <c r="I25" s="258">
        <f t="shared" si="9"/>
        <v>6365.0068042190378</v>
      </c>
      <c r="J25" s="263">
        <f t="shared" si="3"/>
        <v>89567.710127343715</v>
      </c>
      <c r="K25" s="263"/>
      <c r="L25" s="258">
        <f t="shared" si="4"/>
        <v>28607.932161520472</v>
      </c>
      <c r="M25" s="258">
        <f t="shared" si="10"/>
        <v>6565.5204310689487</v>
      </c>
      <c r="N25" s="263">
        <f t="shared" si="5"/>
        <v>92389.316915630363</v>
      </c>
      <c r="P25" s="1">
        <v>21</v>
      </c>
      <c r="Q25" s="7">
        <f t="shared" si="11"/>
        <v>3.1502499999999933E-2</v>
      </c>
      <c r="S25" s="1">
        <v>21</v>
      </c>
      <c r="T25" s="7">
        <f t="shared" si="12"/>
        <v>1.0499999999999992E-2</v>
      </c>
    </row>
    <row r="26" spans="1:20" x14ac:dyDescent="0.3">
      <c r="A26" s="1">
        <v>22</v>
      </c>
      <c r="B26" s="1">
        <f t="shared" si="6"/>
        <v>2002</v>
      </c>
      <c r="C26" s="258">
        <f t="shared" si="7"/>
        <v>56030.087129514213</v>
      </c>
      <c r="D26" s="6">
        <f t="shared" si="8"/>
        <v>1.0125000000000002E-2</v>
      </c>
      <c r="E26" s="258">
        <f t="shared" si="0"/>
        <v>57770.101485321276</v>
      </c>
      <c r="F26" s="6">
        <f t="shared" si="1"/>
        <v>3.1054999999999985E-2</v>
      </c>
      <c r="G26" s="6"/>
      <c r="H26" s="258">
        <f t="shared" si="2"/>
        <v>28015.043564757107</v>
      </c>
      <c r="I26" s="258">
        <f t="shared" si="9"/>
        <v>6429.4524981117565</v>
      </c>
      <c r="J26" s="263">
        <f t="shared" si="3"/>
        <v>90474.583192383085</v>
      </c>
      <c r="K26" s="263"/>
      <c r="L26" s="258">
        <f t="shared" si="4"/>
        <v>28885.050742660638</v>
      </c>
      <c r="M26" s="258">
        <f t="shared" si="10"/>
        <v>6629.1191454406162</v>
      </c>
      <c r="N26" s="263">
        <f t="shared" si="5"/>
        <v>93284.27137342254</v>
      </c>
      <c r="P26" s="1">
        <v>22</v>
      </c>
      <c r="Q26" s="7">
        <f t="shared" si="11"/>
        <v>3.1054999999999933E-2</v>
      </c>
      <c r="S26" s="1">
        <v>22</v>
      </c>
      <c r="T26" s="7">
        <f t="shared" si="12"/>
        <v>1.0124999999999992E-2</v>
      </c>
    </row>
    <row r="27" spans="1:20" x14ac:dyDescent="0.3">
      <c r="A27" s="1">
        <v>23</v>
      </c>
      <c r="B27" s="1">
        <f t="shared" si="6"/>
        <v>2001</v>
      </c>
      <c r="C27" s="258">
        <f t="shared" si="7"/>
        <v>56576.380479026979</v>
      </c>
      <c r="D27" s="6">
        <f t="shared" si="8"/>
        <v>9.7500000000000329E-3</v>
      </c>
      <c r="E27" s="258">
        <f t="shared" si="0"/>
        <v>58308.042044538794</v>
      </c>
      <c r="F27" s="6">
        <f t="shared" si="1"/>
        <v>3.060749999999994E-2</v>
      </c>
      <c r="G27" s="6"/>
      <c r="H27" s="258">
        <f t="shared" si="2"/>
        <v>28288.190239513489</v>
      </c>
      <c r="I27" s="258">
        <f t="shared" si="9"/>
        <v>6492.1396599683449</v>
      </c>
      <c r="J27" s="263">
        <f t="shared" si="3"/>
        <v>91356.710378508811</v>
      </c>
      <c r="K27" s="263"/>
      <c r="L27" s="258">
        <f t="shared" si="4"/>
        <v>29154.021022269397</v>
      </c>
      <c r="M27" s="258">
        <f t="shared" si="10"/>
        <v>6690.8478246108261</v>
      </c>
      <c r="N27" s="263">
        <f t="shared" si="5"/>
        <v>94152.910891419015</v>
      </c>
      <c r="P27" s="1">
        <v>23</v>
      </c>
      <c r="Q27" s="7">
        <f t="shared" si="11"/>
        <v>3.0607499999999933E-2</v>
      </c>
      <c r="S27" s="1">
        <v>23</v>
      </c>
      <c r="T27" s="7">
        <f t="shared" si="12"/>
        <v>9.7499999999999913E-3</v>
      </c>
    </row>
    <row r="28" spans="1:20" x14ac:dyDescent="0.3">
      <c r="A28" s="1">
        <v>24</v>
      </c>
      <c r="B28" s="1">
        <f t="shared" si="6"/>
        <v>2000</v>
      </c>
      <c r="C28" s="258">
        <f t="shared" si="7"/>
        <v>57106.784046017856</v>
      </c>
      <c r="D28" s="6">
        <f t="shared" si="8"/>
        <v>9.3749999999999858E-3</v>
      </c>
      <c r="E28" s="258">
        <f t="shared" si="0"/>
        <v>58829.124652845749</v>
      </c>
      <c r="F28" s="6">
        <f t="shared" si="1"/>
        <v>3.0159999999999899E-2</v>
      </c>
      <c r="G28" s="6"/>
      <c r="H28" s="258">
        <f t="shared" si="2"/>
        <v>28553.392023008928</v>
      </c>
      <c r="I28" s="258">
        <f t="shared" si="9"/>
        <v>6553.0034692805484</v>
      </c>
      <c r="J28" s="263">
        <f t="shared" si="3"/>
        <v>92213.179538307333</v>
      </c>
      <c r="K28" s="263"/>
      <c r="L28" s="258">
        <f t="shared" si="4"/>
        <v>29414.562326422874</v>
      </c>
      <c r="M28" s="258">
        <f t="shared" si="10"/>
        <v>6750.642053914049</v>
      </c>
      <c r="N28" s="263">
        <f t="shared" si="5"/>
        <v>94994.329033182672</v>
      </c>
      <c r="P28" s="1">
        <v>24</v>
      </c>
      <c r="Q28" s="7">
        <f t="shared" si="11"/>
        <v>3.0159999999999933E-2</v>
      </c>
      <c r="S28" s="1">
        <v>24</v>
      </c>
      <c r="T28" s="7">
        <f t="shared" si="12"/>
        <v>9.374999999999991E-3</v>
      </c>
    </row>
    <row r="29" spans="1:20" s="265" customFormat="1" x14ac:dyDescent="0.3">
      <c r="A29" s="265">
        <v>25</v>
      </c>
      <c r="B29" s="265">
        <f t="shared" si="6"/>
        <v>1999</v>
      </c>
      <c r="C29" s="266">
        <f t="shared" si="7"/>
        <v>57620.745102432018</v>
      </c>
      <c r="D29" s="267">
        <f t="shared" si="8"/>
        <v>9.0000000000000253E-3</v>
      </c>
      <c r="E29" s="266">
        <f t="shared" si="0"/>
        <v>59332.801491288024</v>
      </c>
      <c r="F29" s="267">
        <f t="shared" si="1"/>
        <v>2.9712499999999913E-2</v>
      </c>
      <c r="G29" s="267"/>
      <c r="H29" s="266">
        <f t="shared" si="2"/>
        <v>28810.372551216009</v>
      </c>
      <c r="I29" s="266">
        <f t="shared" si="9"/>
        <v>6611.9805005040735</v>
      </c>
      <c r="J29" s="269">
        <f t="shared" si="3"/>
        <v>93043.098154152089</v>
      </c>
      <c r="K29" s="269"/>
      <c r="L29" s="266">
        <f t="shared" si="4"/>
        <v>29666.400745644012</v>
      </c>
      <c r="M29" s="266">
        <f t="shared" si="10"/>
        <v>6808.4389711253007</v>
      </c>
      <c r="N29" s="269">
        <f t="shared" si="5"/>
        <v>95807.641208057335</v>
      </c>
      <c r="P29" s="265">
        <v>25</v>
      </c>
      <c r="Q29" s="272">
        <f t="shared" si="11"/>
        <v>2.9712499999999933E-2</v>
      </c>
      <c r="S29" s="265">
        <v>25</v>
      </c>
      <c r="T29" s="272">
        <f t="shared" si="12"/>
        <v>8.9999999999999906E-3</v>
      </c>
    </row>
    <row r="30" spans="1:20" x14ac:dyDescent="0.3">
      <c r="A30" s="1">
        <v>26</v>
      </c>
      <c r="B30" s="14">
        <f t="shared" si="6"/>
        <v>1998</v>
      </c>
      <c r="C30" s="258">
        <f t="shared" si="7"/>
        <v>58117.724028940494</v>
      </c>
      <c r="D30" s="6">
        <f t="shared" si="8"/>
        <v>8.6250000000000042E-3</v>
      </c>
      <c r="E30" s="258">
        <f t="shared" si="0"/>
        <v>59818.539222647436</v>
      </c>
      <c r="F30" s="6">
        <f t="shared" si="1"/>
        <v>2.9264999999999965E-2</v>
      </c>
      <c r="G30" s="6"/>
      <c r="H30" s="258">
        <f t="shared" si="2"/>
        <v>29058.862014470247</v>
      </c>
      <c r="I30" s="258">
        <f t="shared" si="9"/>
        <v>6669.008832320922</v>
      </c>
      <c r="J30" s="263">
        <f t="shared" si="3"/>
        <v>93845.594875731666</v>
      </c>
      <c r="K30" s="263"/>
      <c r="L30" s="258">
        <f t="shared" si="4"/>
        <v>29909.269611323718</v>
      </c>
      <c r="M30" s="258">
        <f t="shared" si="10"/>
        <v>6864.177375798793</v>
      </c>
      <c r="N30" s="263">
        <f t="shared" si="5"/>
        <v>96591.986209769952</v>
      </c>
      <c r="P30" s="1">
        <v>26</v>
      </c>
      <c r="Q30" s="7">
        <f t="shared" si="11"/>
        <v>2.9264999999999933E-2</v>
      </c>
      <c r="S30" s="1">
        <v>26</v>
      </c>
      <c r="T30" s="7">
        <f t="shared" si="12"/>
        <v>8.6249999999999903E-3</v>
      </c>
    </row>
    <row r="31" spans="1:20" x14ac:dyDescent="0.3">
      <c r="A31" s="1">
        <v>27</v>
      </c>
      <c r="B31" s="1">
        <f t="shared" si="6"/>
        <v>1997</v>
      </c>
      <c r="C31" s="258">
        <f t="shared" si="7"/>
        <v>58597.195252179255</v>
      </c>
      <c r="D31" s="6">
        <f t="shared" si="8"/>
        <v>8.2500000000000333E-3</v>
      </c>
      <c r="E31" s="258">
        <f t="shared" si="0"/>
        <v>60285.819926358927</v>
      </c>
      <c r="F31" s="6">
        <f t="shared" si="1"/>
        <v>2.8817499999999923E-2</v>
      </c>
      <c r="G31" s="6"/>
      <c r="H31" s="258">
        <f t="shared" si="2"/>
        <v>29298.597626089628</v>
      </c>
      <c r="I31" s="258">
        <f t="shared" si="9"/>
        <v>6724.0281551875696</v>
      </c>
      <c r="J31" s="263">
        <f t="shared" si="3"/>
        <v>94619.82103345645</v>
      </c>
      <c r="K31" s="263"/>
      <c r="L31" s="258">
        <f t="shared" si="4"/>
        <v>30142.909963179463</v>
      </c>
      <c r="M31" s="258">
        <f t="shared" si="10"/>
        <v>6917.7978365496865</v>
      </c>
      <c r="N31" s="263">
        <f t="shared" si="5"/>
        <v>97346.527726088068</v>
      </c>
      <c r="P31" s="1">
        <v>27</v>
      </c>
      <c r="Q31" s="7">
        <f t="shared" si="11"/>
        <v>2.8817499999999933E-2</v>
      </c>
      <c r="S31" s="1">
        <v>27</v>
      </c>
      <c r="T31" s="7">
        <f t="shared" si="12"/>
        <v>8.24999999999999E-3</v>
      </c>
    </row>
    <row r="32" spans="1:20" x14ac:dyDescent="0.3">
      <c r="A32" s="1">
        <v>28</v>
      </c>
      <c r="B32" s="1">
        <f t="shared" si="6"/>
        <v>1996</v>
      </c>
      <c r="C32" s="258">
        <f t="shared" si="7"/>
        <v>59058.648164790167</v>
      </c>
      <c r="D32" s="6">
        <f t="shared" si="8"/>
        <v>7.8750000000000035E-3</v>
      </c>
      <c r="E32" s="258">
        <f t="shared" si="0"/>
        <v>60734.142013225261</v>
      </c>
      <c r="F32" s="6">
        <f t="shared" si="1"/>
        <v>2.8369999999999937E-2</v>
      </c>
      <c r="G32" s="6"/>
      <c r="H32" s="258">
        <f t="shared" si="2"/>
        <v>29529.324082395084</v>
      </c>
      <c r="I32" s="258">
        <f t="shared" si="9"/>
        <v>6776.9798769096706</v>
      </c>
      <c r="J32" s="263">
        <f t="shared" si="3"/>
        <v>95364.952124094911</v>
      </c>
      <c r="K32" s="263"/>
      <c r="L32" s="258">
        <f t="shared" si="4"/>
        <v>30367.07100661263</v>
      </c>
      <c r="M32" s="258">
        <f t="shared" si="10"/>
        <v>6969.2427960175983</v>
      </c>
      <c r="N32" s="263">
        <f t="shared" si="5"/>
        <v>98070.455815855486</v>
      </c>
      <c r="P32" s="1">
        <v>28</v>
      </c>
      <c r="Q32" s="7">
        <f t="shared" si="11"/>
        <v>2.8369999999999933E-2</v>
      </c>
      <c r="S32" s="1">
        <v>28</v>
      </c>
      <c r="T32" s="7">
        <f t="shared" si="12"/>
        <v>7.8749999999999896E-3</v>
      </c>
    </row>
    <row r="33" spans="1:20" x14ac:dyDescent="0.3">
      <c r="A33" s="1">
        <v>29</v>
      </c>
      <c r="B33" s="1">
        <f t="shared" si="6"/>
        <v>1995</v>
      </c>
      <c r="C33" s="258">
        <f t="shared" si="7"/>
        <v>59501.588026026096</v>
      </c>
      <c r="D33" s="6">
        <f t="shared" si="8"/>
        <v>7.5000000000000483E-3</v>
      </c>
      <c r="E33" s="258">
        <f t="shared" si="0"/>
        <v>61163.021117682809</v>
      </c>
      <c r="F33" s="6">
        <f t="shared" si="1"/>
        <v>2.7922499999999979E-2</v>
      </c>
      <c r="G33" s="6"/>
      <c r="H33" s="258">
        <f t="shared" si="2"/>
        <v>29750.794013013048</v>
      </c>
      <c r="I33" s="258">
        <f t="shared" si="9"/>
        <v>6827.8072259864948</v>
      </c>
      <c r="J33" s="263">
        <f t="shared" si="3"/>
        <v>96080.189265025649</v>
      </c>
      <c r="K33" s="263"/>
      <c r="L33" s="258">
        <f t="shared" si="4"/>
        <v>30581.510558841404</v>
      </c>
      <c r="M33" s="258">
        <f t="shared" si="10"/>
        <v>7018.4566732541025</v>
      </c>
      <c r="N33" s="263">
        <f t="shared" si="5"/>
        <v>98762.988349778316</v>
      </c>
      <c r="P33" s="1">
        <v>29</v>
      </c>
      <c r="Q33" s="7">
        <f t="shared" si="11"/>
        <v>2.7922499999999933E-2</v>
      </c>
      <c r="S33" s="1">
        <v>29</v>
      </c>
      <c r="T33" s="7">
        <f t="shared" si="12"/>
        <v>7.4999999999999893E-3</v>
      </c>
    </row>
    <row r="34" spans="1:20" s="265" customFormat="1" x14ac:dyDescent="0.3">
      <c r="A34" s="265">
        <v>30</v>
      </c>
      <c r="B34" s="265">
        <f t="shared" si="6"/>
        <v>1994</v>
      </c>
      <c r="C34" s="266">
        <f t="shared" si="7"/>
        <v>59925.536840711531</v>
      </c>
      <c r="D34" s="267">
        <f t="shared" si="8"/>
        <v>7.1249999999999777E-3</v>
      </c>
      <c r="E34" s="266">
        <f t="shared" si="0"/>
        <v>61571.990965410077</v>
      </c>
      <c r="F34" s="267">
        <f t="shared" si="1"/>
        <v>2.7474999999999951E-2</v>
      </c>
      <c r="G34" s="267"/>
      <c r="H34" s="266">
        <f t="shared" si="2"/>
        <v>29962.768420355766</v>
      </c>
      <c r="I34" s="266">
        <f t="shared" si="9"/>
        <v>6876.4553524716475</v>
      </c>
      <c r="J34" s="269">
        <f t="shared" si="3"/>
        <v>96764.760613538936</v>
      </c>
      <c r="K34" s="269"/>
      <c r="L34" s="266">
        <f t="shared" si="4"/>
        <v>30785.995482705039</v>
      </c>
      <c r="M34" s="266">
        <f t="shared" si="10"/>
        <v>7065.3859632808062</v>
      </c>
      <c r="N34" s="269">
        <f t="shared" si="5"/>
        <v>99423.372411395918</v>
      </c>
      <c r="P34" s="265">
        <v>30</v>
      </c>
      <c r="Q34" s="272">
        <f t="shared" si="11"/>
        <v>2.7474999999999934E-2</v>
      </c>
      <c r="S34" s="265">
        <v>30</v>
      </c>
      <c r="T34" s="272">
        <f t="shared" si="12"/>
        <v>7.124999999999989E-3</v>
      </c>
    </row>
    <row r="35" spans="1:20" x14ac:dyDescent="0.3">
      <c r="A35" s="1">
        <v>31</v>
      </c>
      <c r="B35" s="14">
        <f t="shared" si="6"/>
        <v>1993</v>
      </c>
      <c r="C35" s="258">
        <f t="shared" si="7"/>
        <v>60330.034214386331</v>
      </c>
      <c r="D35" s="6">
        <f t="shared" si="8"/>
        <v>6.7499999999999487E-3</v>
      </c>
      <c r="E35" s="258">
        <f t="shared" si="0"/>
        <v>61960.60421411565</v>
      </c>
      <c r="F35" s="6">
        <f t="shared" si="1"/>
        <v>2.7027499999999885E-2</v>
      </c>
      <c r="G35" s="6"/>
      <c r="H35" s="258">
        <f t="shared" si="2"/>
        <v>30165.017107193165</v>
      </c>
      <c r="I35" s="258">
        <f t="shared" si="9"/>
        <v>6922.8714261008308</v>
      </c>
      <c r="J35" s="263">
        <f t="shared" si="3"/>
        <v>97417.922747680321</v>
      </c>
      <c r="K35" s="263"/>
      <c r="L35" s="258">
        <f t="shared" si="4"/>
        <v>30980.302107057825</v>
      </c>
      <c r="M35" s="258">
        <f t="shared" si="10"/>
        <v>7109.9793335697705</v>
      </c>
      <c r="N35" s="263">
        <f t="shared" si="5"/>
        <v>100050.88565474325</v>
      </c>
      <c r="P35" s="1">
        <v>31</v>
      </c>
      <c r="Q35" s="7">
        <f t="shared" si="11"/>
        <v>2.7027499999999934E-2</v>
      </c>
      <c r="S35" s="1">
        <v>31</v>
      </c>
      <c r="T35" s="7">
        <f t="shared" si="12"/>
        <v>6.7499999999999886E-3</v>
      </c>
    </row>
    <row r="36" spans="1:20" x14ac:dyDescent="0.3">
      <c r="A36" s="1">
        <v>32</v>
      </c>
      <c r="B36" s="1">
        <f t="shared" si="6"/>
        <v>1992</v>
      </c>
      <c r="C36" s="258">
        <f t="shared" si="7"/>
        <v>60714.63818250304</v>
      </c>
      <c r="D36" s="6">
        <f t="shared" si="8"/>
        <v>6.3749999999999432E-3</v>
      </c>
      <c r="E36" s="258">
        <f t="shared" si="0"/>
        <v>62328.433265393964</v>
      </c>
      <c r="F36" s="6">
        <f t="shared" si="1"/>
        <v>2.6579999999999878E-2</v>
      </c>
      <c r="G36" s="6"/>
      <c r="H36" s="258">
        <f t="shared" si="2"/>
        <v>30357.31909125152</v>
      </c>
      <c r="I36" s="258">
        <f t="shared" si="9"/>
        <v>6967.0047314422236</v>
      </c>
      <c r="J36" s="263">
        <f t="shared" si="3"/>
        <v>98038.96200519678</v>
      </c>
      <c r="K36" s="263"/>
      <c r="L36" s="258">
        <f t="shared" si="4"/>
        <v>31164.216632696982</v>
      </c>
      <c r="M36" s="258">
        <f t="shared" si="10"/>
        <v>7152.1877172039576</v>
      </c>
      <c r="N36" s="263">
        <f t="shared" si="5"/>
        <v>100644.83761529491</v>
      </c>
      <c r="P36" s="1">
        <v>32</v>
      </c>
      <c r="Q36" s="7">
        <f t="shared" si="11"/>
        <v>2.6579999999999934E-2</v>
      </c>
      <c r="S36" s="1">
        <v>32</v>
      </c>
      <c r="T36" s="7">
        <f t="shared" si="12"/>
        <v>6.3749999999999883E-3</v>
      </c>
    </row>
    <row r="37" spans="1:20" x14ac:dyDescent="0.3">
      <c r="A37" s="1">
        <v>33</v>
      </c>
      <c r="B37" s="1">
        <f t="shared" si="6"/>
        <v>1991</v>
      </c>
      <c r="C37" s="258">
        <f t="shared" si="7"/>
        <v>61078.926011598058</v>
      </c>
      <c r="D37" s="6">
        <f t="shared" si="8"/>
        <v>5.999999999999988E-3</v>
      </c>
      <c r="E37" s="258">
        <f t="shared" si="0"/>
        <v>62675.071045596138</v>
      </c>
      <c r="F37" s="6">
        <f t="shared" si="1"/>
        <v>2.6132499999999902E-2</v>
      </c>
      <c r="G37" s="6"/>
      <c r="H37" s="258">
        <f t="shared" si="2"/>
        <v>30539.463005799029</v>
      </c>
      <c r="I37" s="258">
        <f t="shared" si="9"/>
        <v>7008.8067598308771</v>
      </c>
      <c r="J37" s="263">
        <f t="shared" si="3"/>
        <v>98627.195777227957</v>
      </c>
      <c r="K37" s="263"/>
      <c r="L37" s="258">
        <f t="shared" si="4"/>
        <v>31337.535522798069</v>
      </c>
      <c r="M37" s="258">
        <f t="shared" si="10"/>
        <v>7191.9644024821564</v>
      </c>
      <c r="N37" s="263">
        <f t="shared" si="5"/>
        <v>101204.57097087636</v>
      </c>
      <c r="P37" s="1">
        <v>33</v>
      </c>
      <c r="Q37" s="7">
        <f t="shared" si="11"/>
        <v>2.6132499999999934E-2</v>
      </c>
      <c r="S37" s="1">
        <v>33</v>
      </c>
      <c r="T37" s="7">
        <f t="shared" si="12"/>
        <v>5.999999999999988E-3</v>
      </c>
    </row>
    <row r="38" spans="1:20" x14ac:dyDescent="0.3">
      <c r="A38" s="1">
        <v>34</v>
      </c>
      <c r="B38" s="1">
        <f t="shared" si="6"/>
        <v>1990</v>
      </c>
      <c r="C38" s="258">
        <f t="shared" si="7"/>
        <v>61422.494970413296</v>
      </c>
      <c r="D38" s="6">
        <f t="shared" si="8"/>
        <v>5.624999999999985E-3</v>
      </c>
      <c r="E38" s="258">
        <f t="shared" si="0"/>
        <v>63000.131753728354</v>
      </c>
      <c r="F38" s="6">
        <f t="shared" si="1"/>
        <v>2.5684999999999878E-2</v>
      </c>
      <c r="G38" s="6"/>
      <c r="H38" s="258">
        <f t="shared" si="2"/>
        <v>30711.247485206648</v>
      </c>
      <c r="I38" s="258">
        <f t="shared" si="9"/>
        <v>7048.2312978549253</v>
      </c>
      <c r="J38" s="263">
        <f t="shared" si="3"/>
        <v>99181.973753474871</v>
      </c>
      <c r="K38" s="263"/>
      <c r="L38" s="258">
        <f t="shared" si="4"/>
        <v>31500.065876864177</v>
      </c>
      <c r="M38" s="258">
        <f t="shared" si="10"/>
        <v>7229.2651187403289</v>
      </c>
      <c r="N38" s="263">
        <f t="shared" si="5"/>
        <v>101729.46274933286</v>
      </c>
      <c r="P38" s="1">
        <v>34</v>
      </c>
      <c r="Q38" s="7">
        <f t="shared" si="11"/>
        <v>2.5684999999999934E-2</v>
      </c>
      <c r="S38" s="1">
        <v>34</v>
      </c>
      <c r="T38" s="7">
        <f t="shared" si="12"/>
        <v>5.6249999999999876E-3</v>
      </c>
    </row>
    <row r="39" spans="1:20" s="265" customFormat="1" x14ac:dyDescent="0.3">
      <c r="A39" s="265">
        <v>35</v>
      </c>
      <c r="B39" s="265">
        <f t="shared" si="6"/>
        <v>1989</v>
      </c>
      <c r="C39" s="266">
        <f t="shared" si="7"/>
        <v>61744.963069007965</v>
      </c>
      <c r="D39" s="267">
        <f t="shared" si="8"/>
        <v>5.2499999999999847E-3</v>
      </c>
      <c r="E39" s="266">
        <f t="shared" si="0"/>
        <v>63303.251574462047</v>
      </c>
      <c r="F39" s="267">
        <f t="shared" si="1"/>
        <v>2.5237499999999895E-2</v>
      </c>
      <c r="G39" s="267"/>
      <c r="H39" s="266">
        <f t="shared" si="2"/>
        <v>30872.481534503982</v>
      </c>
      <c r="I39" s="266">
        <f t="shared" si="9"/>
        <v>7085.234512168664</v>
      </c>
      <c r="J39" s="269">
        <f t="shared" si="3"/>
        <v>99702.679115680614</v>
      </c>
      <c r="K39" s="269"/>
      <c r="L39" s="266">
        <f t="shared" si="4"/>
        <v>31651.625787231023</v>
      </c>
      <c r="M39" s="266">
        <f t="shared" si="10"/>
        <v>7264.0481181695195</v>
      </c>
      <c r="N39" s="269">
        <f t="shared" si="5"/>
        <v>102218.92547986259</v>
      </c>
      <c r="P39" s="265">
        <v>35</v>
      </c>
      <c r="Q39" s="272">
        <f t="shared" si="11"/>
        <v>2.5237499999999934E-2</v>
      </c>
      <c r="S39" s="265">
        <v>35</v>
      </c>
      <c r="T39" s="272">
        <f t="shared" si="12"/>
        <v>5.2499999999999873E-3</v>
      </c>
    </row>
    <row r="40" spans="1:20" x14ac:dyDescent="0.3">
      <c r="A40" s="1">
        <v>36</v>
      </c>
      <c r="B40" s="14">
        <f t="shared" si="6"/>
        <v>1988</v>
      </c>
      <c r="C40" s="258">
        <f t="shared" si="7"/>
        <v>62045.969763969377</v>
      </c>
      <c r="D40" s="6">
        <f t="shared" si="8"/>
        <v>4.8749999999999705E-3</v>
      </c>
      <c r="E40" s="258">
        <f t="shared" si="0"/>
        <v>63584.089354418174</v>
      </c>
      <c r="F40" s="6">
        <f t="shared" si="1"/>
        <v>2.4789999999999947E-2</v>
      </c>
      <c r="G40" s="6"/>
      <c r="H40" s="258">
        <f t="shared" si="2"/>
        <v>31022.984881984688</v>
      </c>
      <c r="I40" s="258">
        <f t="shared" si="9"/>
        <v>7119.7750304154861</v>
      </c>
      <c r="J40" s="263">
        <f t="shared" si="3"/>
        <v>100188.72967636956</v>
      </c>
      <c r="K40" s="263"/>
      <c r="L40" s="258">
        <f t="shared" si="4"/>
        <v>31792.044677209087</v>
      </c>
      <c r="M40" s="258">
        <f t="shared" si="10"/>
        <v>7296.2742534194858</v>
      </c>
      <c r="N40" s="263">
        <f t="shared" si="5"/>
        <v>102672.40828504675</v>
      </c>
      <c r="P40" s="1">
        <v>36</v>
      </c>
      <c r="Q40" s="7">
        <f t="shared" si="11"/>
        <v>2.4789999999999934E-2</v>
      </c>
      <c r="S40" s="1">
        <v>36</v>
      </c>
      <c r="T40" s="7">
        <f t="shared" si="12"/>
        <v>4.874999999999987E-3</v>
      </c>
    </row>
    <row r="41" spans="1:20" x14ac:dyDescent="0.3">
      <c r="A41" s="1">
        <v>37</v>
      </c>
      <c r="B41" s="1">
        <f t="shared" si="6"/>
        <v>1987</v>
      </c>
      <c r="C41" s="258">
        <f t="shared" si="7"/>
        <v>62325.17662790724</v>
      </c>
      <c r="D41" s="6">
        <f t="shared" si="8"/>
        <v>4.5000000000000144E-3</v>
      </c>
      <c r="E41" s="258">
        <f t="shared" si="0"/>
        <v>63842.327239972066</v>
      </c>
      <c r="F41" s="6">
        <f t="shared" si="1"/>
        <v>2.4342499999999909E-2</v>
      </c>
      <c r="G41" s="6"/>
      <c r="H41" s="258">
        <f t="shared" si="2"/>
        <v>31162.58831395362</v>
      </c>
      <c r="I41" s="258">
        <f t="shared" si="9"/>
        <v>7151.814018052356</v>
      </c>
      <c r="J41" s="263">
        <f t="shared" si="3"/>
        <v>100639.57895991323</v>
      </c>
      <c r="K41" s="263"/>
      <c r="L41" s="258">
        <f t="shared" si="4"/>
        <v>31921.163619986033</v>
      </c>
      <c r="M41" s="258">
        <f t="shared" si="10"/>
        <v>7325.9070507867946</v>
      </c>
      <c r="N41" s="263">
        <f t="shared" si="5"/>
        <v>103089.39791074488</v>
      </c>
      <c r="P41" s="1">
        <v>37</v>
      </c>
      <c r="Q41" s="7">
        <f t="shared" si="11"/>
        <v>2.4342499999999934E-2</v>
      </c>
      <c r="S41" s="1">
        <v>37</v>
      </c>
      <c r="T41" s="7">
        <f t="shared" si="12"/>
        <v>4.4999999999999866E-3</v>
      </c>
    </row>
    <row r="42" spans="1:20" x14ac:dyDescent="0.3">
      <c r="A42" s="1">
        <v>38</v>
      </c>
      <c r="B42" s="1">
        <f t="shared" si="6"/>
        <v>1986</v>
      </c>
      <c r="C42" s="258">
        <f t="shared" si="7"/>
        <v>62582.26798149736</v>
      </c>
      <c r="D42" s="6">
        <f t="shared" si="8"/>
        <v>4.1250000000000418E-3</v>
      </c>
      <c r="E42" s="258">
        <f t="shared" si="0"/>
        <v>64077.671274915236</v>
      </c>
      <c r="F42" s="6">
        <f t="shared" si="1"/>
        <v>2.3894999999999944E-2</v>
      </c>
      <c r="G42" s="6"/>
      <c r="H42" s="258">
        <f t="shared" si="2"/>
        <v>31291.13399074868</v>
      </c>
      <c r="I42" s="258">
        <f t="shared" si="9"/>
        <v>7181.3152508768217</v>
      </c>
      <c r="J42" s="263">
        <f t="shared" si="3"/>
        <v>101054.71722312286</v>
      </c>
      <c r="K42" s="263"/>
      <c r="L42" s="258">
        <f t="shared" si="4"/>
        <v>32038.835637457618</v>
      </c>
      <c r="M42" s="258">
        <f t="shared" si="10"/>
        <v>7352.9127787965235</v>
      </c>
      <c r="N42" s="263">
        <f t="shared" si="5"/>
        <v>103469.41969116939</v>
      </c>
      <c r="P42" s="1">
        <v>38</v>
      </c>
      <c r="Q42" s="7">
        <f t="shared" si="11"/>
        <v>2.3894999999999934E-2</v>
      </c>
      <c r="S42" s="1">
        <v>38</v>
      </c>
      <c r="T42" s="7">
        <f t="shared" si="12"/>
        <v>4.1249999999999863E-3</v>
      </c>
    </row>
    <row r="43" spans="1:20" x14ac:dyDescent="0.3">
      <c r="A43" s="1">
        <v>39</v>
      </c>
      <c r="B43" s="1">
        <f t="shared" si="6"/>
        <v>1985</v>
      </c>
      <c r="C43" s="258">
        <f t="shared" si="7"/>
        <v>62816.951486427977</v>
      </c>
      <c r="D43" s="6">
        <f t="shared" si="8"/>
        <v>3.7500000000000359E-3</v>
      </c>
      <c r="E43" s="258">
        <f t="shared" si="0"/>
        <v>64289.85195640599</v>
      </c>
      <c r="F43" s="6">
        <f t="shared" si="1"/>
        <v>2.3447499999999882E-2</v>
      </c>
      <c r="G43" s="6"/>
      <c r="H43" s="258">
        <f t="shared" si="2"/>
        <v>31408.475743213989</v>
      </c>
      <c r="I43" s="258">
        <f t="shared" si="9"/>
        <v>7208.24518306761</v>
      </c>
      <c r="J43" s="263">
        <f t="shared" si="3"/>
        <v>101433.67241270958</v>
      </c>
      <c r="K43" s="263"/>
      <c r="L43" s="258">
        <f t="shared" si="4"/>
        <v>32144.925978202995</v>
      </c>
      <c r="M43" s="258">
        <f t="shared" si="10"/>
        <v>7377.2605119975869</v>
      </c>
      <c r="N43" s="263">
        <f t="shared" si="5"/>
        <v>103812.03844660657</v>
      </c>
      <c r="P43" s="1">
        <v>39</v>
      </c>
      <c r="Q43" s="7">
        <f t="shared" si="11"/>
        <v>2.3447499999999934E-2</v>
      </c>
      <c r="S43" s="1">
        <v>39</v>
      </c>
      <c r="T43" s="7">
        <f t="shared" si="12"/>
        <v>3.7499999999999864E-3</v>
      </c>
    </row>
    <row r="44" spans="1:20" s="265" customFormat="1" x14ac:dyDescent="0.3">
      <c r="A44" s="265">
        <v>40</v>
      </c>
      <c r="B44" s="265">
        <f t="shared" si="6"/>
        <v>1984</v>
      </c>
      <c r="C44" s="266">
        <f t="shared" si="7"/>
        <v>63028.958697694674</v>
      </c>
      <c r="D44" s="267">
        <f t="shared" si="8"/>
        <v>3.375000000000036E-3</v>
      </c>
      <c r="E44" s="266">
        <f t="shared" si="0"/>
        <v>64478.624747741647</v>
      </c>
      <c r="F44" s="267">
        <f t="shared" si="1"/>
        <v>2.2999999999999934E-2</v>
      </c>
      <c r="G44" s="267"/>
      <c r="H44" s="266">
        <f t="shared" si="2"/>
        <v>31514.479348847337</v>
      </c>
      <c r="I44" s="266">
        <f t="shared" si="9"/>
        <v>7232.5730105604634</v>
      </c>
      <c r="J44" s="269">
        <f t="shared" si="3"/>
        <v>101776.01105710247</v>
      </c>
      <c r="K44" s="269"/>
      <c r="L44" s="266">
        <f t="shared" si="4"/>
        <v>32239.312373870824</v>
      </c>
      <c r="M44" s="266">
        <f t="shared" si="10"/>
        <v>7398.9221898033538</v>
      </c>
      <c r="N44" s="269">
        <f t="shared" si="5"/>
        <v>104116.85931141583</v>
      </c>
      <c r="P44" s="265">
        <v>40</v>
      </c>
      <c r="Q44" s="272">
        <f t="shared" si="11"/>
        <v>2.2999999999999934E-2</v>
      </c>
      <c r="S44" s="265">
        <v>40</v>
      </c>
      <c r="T44" s="272">
        <f t="shared" si="12"/>
        <v>3.3749999999999865E-3</v>
      </c>
    </row>
    <row r="45" spans="1:20" x14ac:dyDescent="0.3">
      <c r="T45" s="7"/>
    </row>
  </sheetData>
  <sheetProtection algorithmName="SHA-512" hashValue="NM18EiHw//sjj0NPczJPe2h2OnV4fpVoWU3ikAxUZw0lTs2hJFwrPfujjUOkSJifYjhpw0ZEU14dzVqcUs96Gw==" saltValue="ZVK2aeJlhSAXa+d49dghRg==" spinCount="100000" sheet="1" objects="1" scenarios="1"/>
  <mergeCells count="3">
    <mergeCell ref="B2:C2"/>
    <mergeCell ref="G2:N2"/>
    <mergeCell ref="X2:Y2"/>
  </mergeCells>
  <pageMargins left="0.7" right="0.7" top="0.75" bottom="0.75" header="0.3" footer="0.3"/>
  <pageSetup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9E1B8-E1EB-46FC-8C88-3C4A7C9EC4D5}">
  <dimension ref="A1:AM46"/>
  <sheetViews>
    <sheetView zoomScaleNormal="100" workbookViewId="0">
      <selection activeCell="C4" sqref="C4"/>
    </sheetView>
  </sheetViews>
  <sheetFormatPr defaultColWidth="12.1796875" defaultRowHeight="14" x14ac:dyDescent="0.3"/>
  <cols>
    <col min="1" max="1" width="8.81640625" style="1" customWidth="1"/>
    <col min="2" max="2" width="9.1796875" style="1" customWidth="1"/>
    <col min="3" max="3" width="11.1796875" style="15" customWidth="1"/>
    <col min="4" max="4" width="1.453125" style="15" hidden="1" customWidth="1"/>
    <col min="5" max="5" width="9.453125" style="15" customWidth="1"/>
    <col min="6" max="6" width="10.1796875" style="1" hidden="1" customWidth="1"/>
    <col min="7" max="7" width="4.54296875" style="1" customWidth="1"/>
    <col min="8" max="8" width="5.54296875" style="1" hidden="1" customWidth="1"/>
    <col min="9" max="9" width="8.7265625" style="1" hidden="1" customWidth="1"/>
    <col min="10" max="10" width="4.453125" style="1" hidden="1" customWidth="1"/>
    <col min="11" max="11" width="5.453125" style="1" hidden="1" customWidth="1"/>
    <col min="12" max="12" width="8.81640625" style="1" hidden="1" customWidth="1"/>
    <col min="13" max="13" width="12.453125" style="1" hidden="1" customWidth="1"/>
    <col min="14" max="16384" width="12.1796875" style="1"/>
  </cols>
  <sheetData>
    <row r="1" spans="1:39" s="17" customFormat="1" ht="15.5" x14ac:dyDescent="0.35">
      <c r="A1" s="311" t="s">
        <v>88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</row>
    <row r="2" spans="1:39" ht="30.65" hidden="1" customHeight="1" x14ac:dyDescent="0.3">
      <c r="A2" s="310" t="s">
        <v>69</v>
      </c>
      <c r="B2" s="310"/>
      <c r="C2" s="34">
        <v>4.4999999999999998E-2</v>
      </c>
      <c r="D2" s="2"/>
      <c r="E2" s="310" t="s">
        <v>89</v>
      </c>
      <c r="F2" s="310"/>
      <c r="G2" s="310"/>
      <c r="H2" s="310"/>
      <c r="I2" s="310"/>
      <c r="J2" s="310"/>
    </row>
    <row r="3" spans="1:39" s="16" customFormat="1" ht="69" customHeight="1" x14ac:dyDescent="0.35">
      <c r="A3" s="16" t="s">
        <v>71</v>
      </c>
      <c r="B3" s="16" t="s">
        <v>16</v>
      </c>
      <c r="C3" s="29" t="s">
        <v>72</v>
      </c>
      <c r="D3" s="29" t="s">
        <v>73</v>
      </c>
      <c r="E3" s="29" t="s">
        <v>74</v>
      </c>
      <c r="F3" s="16" t="s">
        <v>75</v>
      </c>
      <c r="H3" s="30" t="s">
        <v>82</v>
      </c>
      <c r="I3" s="16" t="s">
        <v>90</v>
      </c>
      <c r="J3" s="30" t="s">
        <v>84</v>
      </c>
      <c r="K3" s="16" t="s">
        <v>82</v>
      </c>
      <c r="L3" s="16" t="s">
        <v>91</v>
      </c>
      <c r="M3" s="16" t="s">
        <v>86</v>
      </c>
    </row>
    <row r="4" spans="1:39" ht="15" x14ac:dyDescent="0.3">
      <c r="A4" s="1" t="s">
        <v>87</v>
      </c>
      <c r="B4" s="1">
        <v>2023</v>
      </c>
      <c r="C4" s="3">
        <v>39249</v>
      </c>
      <c r="D4" s="4"/>
      <c r="E4" s="5">
        <f t="shared" ref="E4:E44" si="0">SUM(C4*I4)+C4</f>
        <v>40854.284099999997</v>
      </c>
      <c r="F4" s="6">
        <f t="shared" ref="F4:F44" si="1">SUM(E4-C4)/C4</f>
        <v>4.0899999999999929E-2</v>
      </c>
      <c r="G4" s="6"/>
      <c r="H4" s="1">
        <v>0</v>
      </c>
      <c r="I4" s="7">
        <v>4.0899999999999999E-2</v>
      </c>
      <c r="J4" s="8">
        <f>((0.0409-0.023)/40)</f>
        <v>4.4749999999999998E-4</v>
      </c>
      <c r="K4" s="1">
        <v>0</v>
      </c>
      <c r="L4" s="7"/>
      <c r="M4" s="9"/>
    </row>
    <row r="5" spans="1:39" x14ac:dyDescent="0.3">
      <c r="A5" s="1">
        <v>1</v>
      </c>
      <c r="B5" s="1">
        <f t="shared" ref="B5:B44" si="2">B4-1</f>
        <v>2022</v>
      </c>
      <c r="C5" s="4">
        <f t="shared" ref="C5:C44" si="3">SUM(C4*L5)+C4</f>
        <v>39955.482000000004</v>
      </c>
      <c r="D5" s="10">
        <f t="shared" ref="D5:D44" si="4">SUM(C5-C4)/C4</f>
        <v>1.8000000000000092E-2</v>
      </c>
      <c r="E5" s="4">
        <f t="shared" si="0"/>
        <v>41571.781135605001</v>
      </c>
      <c r="F5" s="6">
        <f t="shared" si="1"/>
        <v>4.0452499999999919E-2</v>
      </c>
      <c r="G5" s="6"/>
      <c r="H5" s="1">
        <v>1</v>
      </c>
      <c r="I5" s="7">
        <f t="shared" ref="I5:I44" si="5">I4-$J$4</f>
        <v>4.0452500000000002E-2</v>
      </c>
      <c r="J5" s="11" t="s">
        <v>92</v>
      </c>
      <c r="K5" s="1">
        <v>1</v>
      </c>
      <c r="L5" s="7">
        <v>1.7999999999999999E-2</v>
      </c>
      <c r="M5" s="12">
        <f>((0.02-0.005)/40)</f>
        <v>3.7500000000000001E-4</v>
      </c>
    </row>
    <row r="6" spans="1:39" x14ac:dyDescent="0.3">
      <c r="A6" s="1">
        <v>2</v>
      </c>
      <c r="B6" s="1">
        <f t="shared" si="2"/>
        <v>2021</v>
      </c>
      <c r="C6" s="4">
        <f t="shared" si="3"/>
        <v>40659.697370250004</v>
      </c>
      <c r="D6" s="10">
        <f t="shared" si="4"/>
        <v>1.7624999999999998E-2</v>
      </c>
      <c r="E6" s="4">
        <f t="shared" si="0"/>
        <v>42286.288563546856</v>
      </c>
      <c r="F6" s="6">
        <f t="shared" si="1"/>
        <v>4.0005000000000013E-2</v>
      </c>
      <c r="G6" s="6"/>
      <c r="H6" s="1">
        <v>2</v>
      </c>
      <c r="I6" s="7">
        <f t="shared" si="5"/>
        <v>4.0004999999999999E-2</v>
      </c>
      <c r="K6" s="1">
        <v>2</v>
      </c>
      <c r="L6" s="7">
        <f t="shared" ref="L6:L44" si="6">L5-$M$5</f>
        <v>1.7624999999999998E-2</v>
      </c>
      <c r="M6" s="13" t="s">
        <v>93</v>
      </c>
    </row>
    <row r="7" spans="1:39" x14ac:dyDescent="0.3">
      <c r="A7" s="1">
        <v>3</v>
      </c>
      <c r="B7" s="1">
        <f t="shared" si="2"/>
        <v>2020</v>
      </c>
      <c r="C7" s="4">
        <f t="shared" si="3"/>
        <v>41361.077149886813</v>
      </c>
      <c r="D7" s="10">
        <f t="shared" si="4"/>
        <v>1.7249999999999911E-2</v>
      </c>
      <c r="E7" s="4">
        <f t="shared" si="0"/>
        <v>42997.217959243462</v>
      </c>
      <c r="F7" s="6">
        <f t="shared" si="1"/>
        <v>3.9557500000000051E-2</v>
      </c>
      <c r="G7" s="6"/>
      <c r="H7" s="1">
        <v>3</v>
      </c>
      <c r="I7" s="7">
        <f t="shared" si="5"/>
        <v>3.9557499999999995E-2</v>
      </c>
      <c r="K7" s="1">
        <v>3</v>
      </c>
      <c r="L7" s="7">
        <f t="shared" si="6"/>
        <v>1.7249999999999998E-2</v>
      </c>
    </row>
    <row r="8" spans="1:39" x14ac:dyDescent="0.3">
      <c r="A8" s="1">
        <v>4</v>
      </c>
      <c r="B8" s="1">
        <f t="shared" si="2"/>
        <v>2019</v>
      </c>
      <c r="C8" s="4">
        <f t="shared" si="3"/>
        <v>42059.045326791151</v>
      </c>
      <c r="D8" s="10">
        <f t="shared" si="4"/>
        <v>1.6874999999999956E-2</v>
      </c>
      <c r="E8" s="4">
        <f t="shared" si="0"/>
        <v>43703.974589521953</v>
      </c>
      <c r="F8" s="6">
        <f t="shared" si="1"/>
        <v>3.9110000000000006E-2</v>
      </c>
      <c r="G8" s="6"/>
      <c r="H8" s="1">
        <v>4</v>
      </c>
      <c r="I8" s="7">
        <f t="shared" si="5"/>
        <v>3.9109999999999992E-2</v>
      </c>
      <c r="K8" s="1">
        <v>4</v>
      </c>
      <c r="L8" s="7">
        <f t="shared" si="6"/>
        <v>1.6874999999999998E-2</v>
      </c>
    </row>
    <row r="9" spans="1:39" s="26" customFormat="1" x14ac:dyDescent="0.3">
      <c r="A9" s="22">
        <v>5</v>
      </c>
      <c r="B9" s="22">
        <f t="shared" si="2"/>
        <v>2018</v>
      </c>
      <c r="C9" s="23">
        <f t="shared" si="3"/>
        <v>42753.019574683203</v>
      </c>
      <c r="D9" s="24">
        <f t="shared" si="4"/>
        <v>1.6499999999999966E-2</v>
      </c>
      <c r="E9" s="23">
        <f t="shared" si="0"/>
        <v>44405.958193989391</v>
      </c>
      <c r="F9" s="25">
        <f t="shared" si="1"/>
        <v>3.8662499999999954E-2</v>
      </c>
      <c r="G9" s="25"/>
      <c r="H9" s="26">
        <v>5</v>
      </c>
      <c r="I9" s="27">
        <f t="shared" si="5"/>
        <v>3.8662499999999989E-2</v>
      </c>
      <c r="K9" s="26">
        <v>5</v>
      </c>
      <c r="L9" s="27">
        <f t="shared" si="6"/>
        <v>1.6499999999999997E-2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x14ac:dyDescent="0.3">
      <c r="A10" s="1">
        <v>6</v>
      </c>
      <c r="B10" s="14">
        <f t="shared" si="2"/>
        <v>2017</v>
      </c>
      <c r="C10" s="4">
        <f t="shared" si="3"/>
        <v>43442.412015324968</v>
      </c>
      <c r="D10" s="10">
        <f t="shared" si="4"/>
        <v>1.6124999999999952E-2</v>
      </c>
      <c r="E10" s="4">
        <f t="shared" si="0"/>
        <v>45102.563790490611</v>
      </c>
      <c r="F10" s="6">
        <f t="shared" si="1"/>
        <v>3.8214999999999985E-2</v>
      </c>
      <c r="G10" s="6"/>
      <c r="H10" s="1">
        <v>6</v>
      </c>
      <c r="I10" s="7">
        <f t="shared" si="5"/>
        <v>3.8214999999999985E-2</v>
      </c>
      <c r="K10" s="1">
        <v>6</v>
      </c>
      <c r="L10" s="7">
        <f t="shared" si="6"/>
        <v>1.6124999999999997E-2</v>
      </c>
    </row>
    <row r="11" spans="1:39" x14ac:dyDescent="0.3">
      <c r="A11" s="1">
        <v>7</v>
      </c>
      <c r="B11" s="1">
        <f t="shared" si="2"/>
        <v>2016</v>
      </c>
      <c r="C11" s="4">
        <f t="shared" si="3"/>
        <v>44126.630004566337</v>
      </c>
      <c r="D11" s="10">
        <f t="shared" si="4"/>
        <v>1.5750000000000031E-2</v>
      </c>
      <c r="E11" s="4">
        <f t="shared" si="0"/>
        <v>45793.182503263793</v>
      </c>
      <c r="F11" s="6">
        <f t="shared" si="1"/>
        <v>3.7767499999999926E-2</v>
      </c>
      <c r="G11" s="6"/>
      <c r="H11" s="1">
        <v>7</v>
      </c>
      <c r="I11" s="7">
        <f t="shared" si="5"/>
        <v>3.7767499999999982E-2</v>
      </c>
      <c r="K11" s="1">
        <v>7</v>
      </c>
      <c r="L11" s="7">
        <f t="shared" si="6"/>
        <v>1.5749999999999997E-2</v>
      </c>
    </row>
    <row r="12" spans="1:39" x14ac:dyDescent="0.3">
      <c r="A12" s="1">
        <v>8</v>
      </c>
      <c r="B12" s="1">
        <f t="shared" si="2"/>
        <v>2015</v>
      </c>
      <c r="C12" s="4">
        <f t="shared" si="3"/>
        <v>44805.076940886545</v>
      </c>
      <c r="D12" s="10">
        <f t="shared" si="4"/>
        <v>1.537500000000001E-2</v>
      </c>
      <c r="E12" s="4">
        <f t="shared" si="0"/>
        <v>46477.202412320432</v>
      </c>
      <c r="F12" s="6">
        <f t="shared" si="1"/>
        <v>3.7320000000000013E-2</v>
      </c>
      <c r="G12" s="6"/>
      <c r="H12" s="1">
        <v>8</v>
      </c>
      <c r="I12" s="7">
        <f t="shared" si="5"/>
        <v>3.7319999999999978E-2</v>
      </c>
      <c r="K12" s="1">
        <v>8</v>
      </c>
      <c r="L12" s="7">
        <f t="shared" si="6"/>
        <v>1.5374999999999996E-2</v>
      </c>
    </row>
    <row r="13" spans="1:39" x14ac:dyDescent="0.3">
      <c r="A13" s="1">
        <v>9</v>
      </c>
      <c r="B13" s="1">
        <f t="shared" si="2"/>
        <v>2014</v>
      </c>
      <c r="C13" s="4">
        <f t="shared" si="3"/>
        <v>45477.153094999841</v>
      </c>
      <c r="D13" s="10">
        <f t="shared" si="4"/>
        <v>1.4999999999999953E-2</v>
      </c>
      <c r="E13" s="4">
        <f t="shared" si="0"/>
        <v>47154.009422495219</v>
      </c>
      <c r="F13" s="6">
        <f t="shared" si="1"/>
        <v>3.6872499999999912E-2</v>
      </c>
      <c r="G13" s="6"/>
      <c r="H13" s="1">
        <v>9</v>
      </c>
      <c r="I13" s="7">
        <f t="shared" si="5"/>
        <v>3.6872499999999975E-2</v>
      </c>
      <c r="K13" s="1">
        <v>9</v>
      </c>
      <c r="L13" s="7">
        <f t="shared" si="6"/>
        <v>1.4999999999999996E-2</v>
      </c>
    </row>
    <row r="14" spans="1:39" s="22" customFormat="1" x14ac:dyDescent="0.3">
      <c r="A14" s="22">
        <v>10</v>
      </c>
      <c r="B14" s="22">
        <f t="shared" si="2"/>
        <v>2013</v>
      </c>
      <c r="C14" s="23">
        <f t="shared" si="3"/>
        <v>46142.256459014214</v>
      </c>
      <c r="D14" s="24">
        <f t="shared" si="4"/>
        <v>1.4624999999999992E-2</v>
      </c>
      <c r="E14" s="23">
        <f t="shared" si="0"/>
        <v>47822.988150533805</v>
      </c>
      <c r="F14" s="25">
        <f t="shared" si="1"/>
        <v>3.6424999999999971E-2</v>
      </c>
      <c r="G14" s="25"/>
      <c r="H14" s="22">
        <v>10</v>
      </c>
      <c r="I14" s="28">
        <f t="shared" si="5"/>
        <v>3.6424999999999971E-2</v>
      </c>
      <c r="K14" s="22">
        <v>10</v>
      </c>
      <c r="L14" s="28">
        <f t="shared" si="6"/>
        <v>1.4624999999999996E-2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x14ac:dyDescent="0.3">
      <c r="A15" s="1">
        <v>11</v>
      </c>
      <c r="B15" s="14">
        <f t="shared" si="2"/>
        <v>2012</v>
      </c>
      <c r="C15" s="4">
        <f t="shared" si="3"/>
        <v>46799.783613555162</v>
      </c>
      <c r="D15" s="10">
        <f t="shared" si="4"/>
        <v>1.4249999999999916E-2</v>
      </c>
      <c r="E15" s="4">
        <f t="shared" si="0"/>
        <v>48483.522828511843</v>
      </c>
      <c r="F15" s="6">
        <f t="shared" si="1"/>
        <v>3.5977499999999989E-2</v>
      </c>
      <c r="G15" s="6"/>
      <c r="H15" s="1">
        <v>11</v>
      </c>
      <c r="I15" s="7">
        <f t="shared" si="5"/>
        <v>3.5977499999999968E-2</v>
      </c>
      <c r="K15" s="1">
        <v>11</v>
      </c>
      <c r="L15" s="7">
        <f t="shared" si="6"/>
        <v>1.4249999999999995E-2</v>
      </c>
    </row>
    <row r="16" spans="1:39" x14ac:dyDescent="0.3">
      <c r="A16" s="1">
        <v>12</v>
      </c>
      <c r="B16" s="1">
        <f t="shared" si="2"/>
        <v>2011</v>
      </c>
      <c r="C16" s="4">
        <f t="shared" si="3"/>
        <v>47449.130611193243</v>
      </c>
      <c r="D16" s="10">
        <f t="shared" si="4"/>
        <v>1.387500000000005E-2</v>
      </c>
      <c r="E16" s="4">
        <f t="shared" si="0"/>
        <v>49134.998221808935</v>
      </c>
      <c r="F16" s="6">
        <f t="shared" si="1"/>
        <v>3.552999999999993E-2</v>
      </c>
      <c r="G16" s="6"/>
      <c r="H16" s="1">
        <v>12</v>
      </c>
      <c r="I16" s="7">
        <f t="shared" si="5"/>
        <v>3.5529999999999964E-2</v>
      </c>
      <c r="K16" s="1">
        <v>12</v>
      </c>
      <c r="L16" s="7">
        <f t="shared" si="6"/>
        <v>1.3874999999999995E-2</v>
      </c>
    </row>
    <row r="17" spans="1:39" x14ac:dyDescent="0.3">
      <c r="A17" s="1">
        <v>13</v>
      </c>
      <c r="B17" s="1">
        <f t="shared" si="2"/>
        <v>2010</v>
      </c>
      <c r="C17" s="4">
        <f t="shared" si="3"/>
        <v>48089.693874444354</v>
      </c>
      <c r="D17" s="10">
        <f t="shared" si="4"/>
        <v>1.3500000000000057E-2</v>
      </c>
      <c r="E17" s="4">
        <f t="shared" si="0"/>
        <v>49776.800559794545</v>
      </c>
      <c r="F17" s="6">
        <f t="shared" si="1"/>
        <v>3.5082499999999926E-2</v>
      </c>
      <c r="G17" s="6"/>
      <c r="H17" s="1">
        <v>13</v>
      </c>
      <c r="I17" s="7">
        <f t="shared" si="5"/>
        <v>3.5082499999999961E-2</v>
      </c>
      <c r="K17" s="1">
        <v>13</v>
      </c>
      <c r="L17" s="7">
        <f t="shared" si="6"/>
        <v>1.3499999999999995E-2</v>
      </c>
    </row>
    <row r="18" spans="1:39" x14ac:dyDescent="0.3">
      <c r="A18" s="1">
        <v>14</v>
      </c>
      <c r="B18" s="1">
        <f t="shared" si="2"/>
        <v>2009</v>
      </c>
      <c r="C18" s="4">
        <f t="shared" si="3"/>
        <v>48720.871106546438</v>
      </c>
      <c r="D18" s="10">
        <f t="shared" si="4"/>
        <v>1.3125000000000029E-2</v>
      </c>
      <c r="E18" s="4">
        <f t="shared" si="0"/>
        <v>50408.318477321671</v>
      </c>
      <c r="F18" s="6">
        <f t="shared" si="1"/>
        <v>3.4634999999999944E-2</v>
      </c>
      <c r="G18" s="6"/>
      <c r="H18" s="1">
        <v>14</v>
      </c>
      <c r="I18" s="7">
        <f t="shared" si="5"/>
        <v>3.4634999999999957E-2</v>
      </c>
      <c r="K18" s="1">
        <v>14</v>
      </c>
      <c r="L18" s="7">
        <f t="shared" si="6"/>
        <v>1.3124999999999994E-2</v>
      </c>
    </row>
    <row r="19" spans="1:39" s="22" customFormat="1" x14ac:dyDescent="0.3">
      <c r="A19" s="22">
        <v>15</v>
      </c>
      <c r="B19" s="22">
        <f t="shared" si="2"/>
        <v>2008</v>
      </c>
      <c r="C19" s="23">
        <f t="shared" si="3"/>
        <v>49342.062213154903</v>
      </c>
      <c r="D19" s="24">
        <f t="shared" si="4"/>
        <v>1.2749999999999956E-2</v>
      </c>
      <c r="E19" s="23">
        <f t="shared" si="0"/>
        <v>51028.943965067134</v>
      </c>
      <c r="F19" s="25">
        <f t="shared" si="1"/>
        <v>3.4187499999999961E-2</v>
      </c>
      <c r="G19" s="25"/>
      <c r="H19" s="22">
        <v>15</v>
      </c>
      <c r="I19" s="28">
        <f t="shared" si="5"/>
        <v>3.4187499999999954E-2</v>
      </c>
      <c r="K19" s="22">
        <v>15</v>
      </c>
      <c r="L19" s="28">
        <f t="shared" si="6"/>
        <v>1.2749999999999994E-2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3">
      <c r="A20" s="1">
        <v>16</v>
      </c>
      <c r="B20" s="14">
        <f t="shared" si="2"/>
        <v>2007</v>
      </c>
      <c r="C20" s="4">
        <f t="shared" si="3"/>
        <v>49952.670233042692</v>
      </c>
      <c r="D20" s="10">
        <f t="shared" si="4"/>
        <v>1.2374999999999959E-2</v>
      </c>
      <c r="E20" s="4">
        <f t="shared" si="0"/>
        <v>51638.073326705548</v>
      </c>
      <c r="F20" s="6">
        <f t="shared" si="1"/>
        <v>3.3739999999999895E-2</v>
      </c>
      <c r="G20" s="6"/>
      <c r="H20" s="1">
        <v>16</v>
      </c>
      <c r="I20" s="7">
        <f t="shared" si="5"/>
        <v>3.3739999999999951E-2</v>
      </c>
      <c r="K20" s="1">
        <v>16</v>
      </c>
      <c r="L20" s="7">
        <f t="shared" si="6"/>
        <v>1.2374999999999994E-2</v>
      </c>
    </row>
    <row r="21" spans="1:39" x14ac:dyDescent="0.3">
      <c r="A21" s="1">
        <v>17</v>
      </c>
      <c r="B21" s="1">
        <f t="shared" si="2"/>
        <v>2006</v>
      </c>
      <c r="C21" s="4">
        <f t="shared" si="3"/>
        <v>50552.102275839206</v>
      </c>
      <c r="D21" s="10">
        <f t="shared" si="4"/>
        <v>1.2000000000000033E-2</v>
      </c>
      <c r="E21" s="4">
        <f t="shared" si="0"/>
        <v>52235.108140857577</v>
      </c>
      <c r="F21" s="6">
        <f t="shared" si="1"/>
        <v>3.3292499999999885E-2</v>
      </c>
      <c r="G21" s="6"/>
      <c r="H21" s="1">
        <v>17</v>
      </c>
      <c r="I21" s="7">
        <f t="shared" si="5"/>
        <v>3.3292499999999947E-2</v>
      </c>
      <c r="K21" s="1">
        <v>17</v>
      </c>
      <c r="L21" s="7">
        <f t="shared" si="6"/>
        <v>1.1999999999999993E-2</v>
      </c>
    </row>
    <row r="22" spans="1:39" x14ac:dyDescent="0.3">
      <c r="A22" s="1">
        <v>18</v>
      </c>
      <c r="B22" s="1">
        <f t="shared" si="2"/>
        <v>2005</v>
      </c>
      <c r="C22" s="4">
        <f t="shared" si="3"/>
        <v>51139.770464795838</v>
      </c>
      <c r="D22" s="10">
        <f t="shared" si="4"/>
        <v>1.1625000000000017E-2</v>
      </c>
      <c r="E22" s="4">
        <f t="shared" si="0"/>
        <v>52819.456225712056</v>
      </c>
      <c r="F22" s="6">
        <f t="shared" si="1"/>
        <v>3.2844999999999971E-2</v>
      </c>
      <c r="G22" s="6"/>
      <c r="H22" s="1">
        <v>18</v>
      </c>
      <c r="I22" s="7">
        <f t="shared" si="5"/>
        <v>3.2844999999999944E-2</v>
      </c>
      <c r="K22" s="1">
        <v>18</v>
      </c>
      <c r="L22" s="7">
        <f t="shared" si="6"/>
        <v>1.1624999999999993E-2</v>
      </c>
    </row>
    <row r="23" spans="1:39" x14ac:dyDescent="0.3">
      <c r="A23" s="1">
        <v>19</v>
      </c>
      <c r="B23" s="1">
        <f t="shared" si="2"/>
        <v>2004</v>
      </c>
      <c r="C23" s="4">
        <f t="shared" si="3"/>
        <v>51715.09288252479</v>
      </c>
      <c r="D23" s="10">
        <f t="shared" si="4"/>
        <v>1.1249999999999979E-2</v>
      </c>
      <c r="E23" s="4">
        <f t="shared" si="0"/>
        <v>53390.532604186381</v>
      </c>
      <c r="F23" s="6">
        <f t="shared" si="1"/>
        <v>3.2397499999999878E-2</v>
      </c>
      <c r="G23" s="6"/>
      <c r="H23" s="1">
        <v>19</v>
      </c>
      <c r="I23" s="7">
        <f t="shared" si="5"/>
        <v>3.239749999999994E-2</v>
      </c>
      <c r="K23" s="1">
        <v>19</v>
      </c>
      <c r="L23" s="7">
        <f t="shared" si="6"/>
        <v>1.1249999999999993E-2</v>
      </c>
    </row>
    <row r="24" spans="1:39" s="22" customFormat="1" x14ac:dyDescent="0.3">
      <c r="A24" s="22">
        <v>20</v>
      </c>
      <c r="B24" s="22">
        <f t="shared" si="2"/>
        <v>2003</v>
      </c>
      <c r="C24" s="23">
        <f t="shared" si="3"/>
        <v>52277.494517622246</v>
      </c>
      <c r="D24" s="24">
        <f t="shared" si="4"/>
        <v>1.0874999999999982E-2</v>
      </c>
      <c r="E24" s="23">
        <f t="shared" si="0"/>
        <v>53947.760467460277</v>
      </c>
      <c r="F24" s="25">
        <f t="shared" si="1"/>
        <v>3.1949999999999999E-2</v>
      </c>
      <c r="G24" s="25"/>
      <c r="H24" s="22">
        <v>20</v>
      </c>
      <c r="I24" s="28">
        <f t="shared" si="5"/>
        <v>3.1949999999999937E-2</v>
      </c>
      <c r="K24" s="22">
        <v>20</v>
      </c>
      <c r="L24" s="28">
        <f t="shared" si="6"/>
        <v>1.0874999999999992E-2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3">
      <c r="A25" s="1">
        <v>21</v>
      </c>
      <c r="B25" s="14">
        <f t="shared" si="2"/>
        <v>2002</v>
      </c>
      <c r="C25" s="4">
        <f t="shared" si="3"/>
        <v>52826.408210057278</v>
      </c>
      <c r="D25" s="10">
        <f t="shared" si="4"/>
        <v>1.0499999999999959E-2</v>
      </c>
      <c r="E25" s="4">
        <f t="shared" si="0"/>
        <v>54490.572134694601</v>
      </c>
      <c r="F25" s="6">
        <f t="shared" si="1"/>
        <v>3.1502499999999885E-2</v>
      </c>
      <c r="G25" s="6"/>
      <c r="H25" s="1">
        <v>21</v>
      </c>
      <c r="I25" s="7">
        <f t="shared" si="5"/>
        <v>3.1502499999999933E-2</v>
      </c>
      <c r="K25" s="1">
        <v>21</v>
      </c>
      <c r="L25" s="7">
        <f t="shared" si="6"/>
        <v>1.0499999999999992E-2</v>
      </c>
    </row>
    <row r="26" spans="1:39" x14ac:dyDescent="0.3">
      <c r="A26" s="1">
        <v>22</v>
      </c>
      <c r="B26" s="1">
        <f t="shared" si="2"/>
        <v>2001</v>
      </c>
      <c r="C26" s="4">
        <f t="shared" si="3"/>
        <v>53361.275593184109</v>
      </c>
      <c r="D26" s="10">
        <f t="shared" si="4"/>
        <v>1.012500000000003E-2</v>
      </c>
      <c r="E26" s="4">
        <f t="shared" si="0"/>
        <v>55018.410006730439</v>
      </c>
      <c r="F26" s="6">
        <f t="shared" si="1"/>
        <v>3.1054999999999944E-2</v>
      </c>
      <c r="G26" s="6"/>
      <c r="H26" s="1">
        <v>22</v>
      </c>
      <c r="I26" s="7">
        <f t="shared" si="5"/>
        <v>3.1054999999999933E-2</v>
      </c>
      <c r="K26" s="1">
        <v>22</v>
      </c>
      <c r="L26" s="7">
        <f t="shared" si="6"/>
        <v>1.0124999999999992E-2</v>
      </c>
    </row>
    <row r="27" spans="1:39" x14ac:dyDescent="0.3">
      <c r="A27" s="1">
        <v>23</v>
      </c>
      <c r="B27" s="1">
        <f t="shared" si="2"/>
        <v>2000</v>
      </c>
      <c r="C27" s="4">
        <f t="shared" si="3"/>
        <v>53881.548030217651</v>
      </c>
      <c r="D27" s="10">
        <f t="shared" si="4"/>
        <v>9.7499999999999393E-3</v>
      </c>
      <c r="E27" s="4">
        <f t="shared" si="0"/>
        <v>55530.727511552534</v>
      </c>
      <c r="F27" s="6">
        <f t="shared" si="1"/>
        <v>3.0607499999999919E-2</v>
      </c>
      <c r="G27" s="6"/>
      <c r="H27" s="1">
        <v>23</v>
      </c>
      <c r="I27" s="7">
        <f t="shared" si="5"/>
        <v>3.0607499999999933E-2</v>
      </c>
      <c r="K27" s="1">
        <v>23</v>
      </c>
      <c r="L27" s="7">
        <f t="shared" si="6"/>
        <v>9.7499999999999913E-3</v>
      </c>
    </row>
    <row r="28" spans="1:39" x14ac:dyDescent="0.3">
      <c r="A28" s="1">
        <v>24</v>
      </c>
      <c r="B28" s="1">
        <f t="shared" si="2"/>
        <v>1999</v>
      </c>
      <c r="C28" s="4">
        <f t="shared" si="3"/>
        <v>54386.687543000939</v>
      </c>
      <c r="D28" s="10">
        <f t="shared" si="4"/>
        <v>9.3749999999999441E-3</v>
      </c>
      <c r="E28" s="4">
        <f t="shared" si="0"/>
        <v>56026.990039297845</v>
      </c>
      <c r="F28" s="6">
        <f t="shared" si="1"/>
        <v>3.0159999999999968E-2</v>
      </c>
      <c r="G28" s="6"/>
      <c r="H28" s="1">
        <v>24</v>
      </c>
      <c r="I28" s="7">
        <f t="shared" si="5"/>
        <v>3.0159999999999933E-2</v>
      </c>
      <c r="K28" s="1">
        <v>24</v>
      </c>
      <c r="L28" s="7">
        <f t="shared" si="6"/>
        <v>9.374999999999991E-3</v>
      </c>
    </row>
    <row r="29" spans="1:39" s="22" customFormat="1" x14ac:dyDescent="0.3">
      <c r="A29" s="22">
        <v>25</v>
      </c>
      <c r="B29" s="22">
        <f t="shared" si="2"/>
        <v>1998</v>
      </c>
      <c r="C29" s="23">
        <f t="shared" si="3"/>
        <v>54876.167730887944</v>
      </c>
      <c r="D29" s="24">
        <f t="shared" si="4"/>
        <v>8.9999999999999507E-3</v>
      </c>
      <c r="E29" s="23">
        <f t="shared" si="0"/>
        <v>56506.675864591947</v>
      </c>
      <c r="F29" s="25">
        <f t="shared" si="1"/>
        <v>2.9712499999999906E-2</v>
      </c>
      <c r="G29" s="25"/>
      <c r="H29" s="22">
        <v>25</v>
      </c>
      <c r="I29" s="28">
        <f t="shared" si="5"/>
        <v>2.9712499999999933E-2</v>
      </c>
      <c r="K29" s="22">
        <v>25</v>
      </c>
      <c r="L29" s="28">
        <f t="shared" si="6"/>
        <v>8.9999999999999906E-3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3">
      <c r="A30" s="1">
        <v>26</v>
      </c>
      <c r="B30" s="14">
        <f t="shared" si="2"/>
        <v>1997</v>
      </c>
      <c r="C30" s="4">
        <f t="shared" si="3"/>
        <v>55349.474677566854</v>
      </c>
      <c r="D30" s="10">
        <f t="shared" si="4"/>
        <v>8.6250000000000146E-3</v>
      </c>
      <c r="E30" s="4">
        <f t="shared" si="0"/>
        <v>56969.277054005841</v>
      </c>
      <c r="F30" s="6">
        <f t="shared" si="1"/>
        <v>2.9264999999999878E-2</v>
      </c>
      <c r="G30" s="6"/>
      <c r="H30" s="1">
        <v>26</v>
      </c>
      <c r="I30" s="7">
        <f t="shared" si="5"/>
        <v>2.9264999999999933E-2</v>
      </c>
      <c r="K30" s="1">
        <v>26</v>
      </c>
      <c r="L30" s="7">
        <f t="shared" si="6"/>
        <v>8.6249999999999903E-3</v>
      </c>
    </row>
    <row r="31" spans="1:39" x14ac:dyDescent="0.3">
      <c r="A31" s="1">
        <v>27</v>
      </c>
      <c r="B31" s="1">
        <f t="shared" si="2"/>
        <v>1996</v>
      </c>
      <c r="C31" s="4">
        <f t="shared" si="3"/>
        <v>55806.107843656777</v>
      </c>
      <c r="D31" s="10">
        <f t="shared" si="4"/>
        <v>8.2499999999999397E-3</v>
      </c>
      <c r="E31" s="4">
        <f t="shared" si="0"/>
        <v>57414.300356441352</v>
      </c>
      <c r="F31" s="6">
        <f t="shared" si="1"/>
        <v>2.881749999999993E-2</v>
      </c>
      <c r="G31" s="6"/>
      <c r="H31" s="1">
        <v>27</v>
      </c>
      <c r="I31" s="7">
        <f t="shared" si="5"/>
        <v>2.8817499999999933E-2</v>
      </c>
      <c r="K31" s="1">
        <v>27</v>
      </c>
      <c r="L31" s="7">
        <f t="shared" si="6"/>
        <v>8.24999999999999E-3</v>
      </c>
    </row>
    <row r="32" spans="1:39" x14ac:dyDescent="0.3">
      <c r="A32" s="1">
        <v>28</v>
      </c>
      <c r="B32" s="1">
        <f t="shared" si="2"/>
        <v>1995</v>
      </c>
      <c r="C32" s="4">
        <f t="shared" si="3"/>
        <v>56245.580942925575</v>
      </c>
      <c r="D32" s="10">
        <f t="shared" si="4"/>
        <v>7.8750000000000209E-3</v>
      </c>
      <c r="E32" s="4">
        <f t="shared" si="0"/>
        <v>57841.26807427637</v>
      </c>
      <c r="F32" s="6">
        <f t="shared" si="1"/>
        <v>2.8369999999999927E-2</v>
      </c>
      <c r="G32" s="6"/>
      <c r="H32" s="1">
        <v>28</v>
      </c>
      <c r="I32" s="7">
        <f t="shared" si="5"/>
        <v>2.8369999999999933E-2</v>
      </c>
      <c r="K32" s="1">
        <v>28</v>
      </c>
      <c r="L32" s="7">
        <f t="shared" si="6"/>
        <v>7.8749999999999896E-3</v>
      </c>
    </row>
    <row r="33" spans="1:39" x14ac:dyDescent="0.3">
      <c r="A33" s="1">
        <v>29</v>
      </c>
      <c r="B33" s="1">
        <f t="shared" si="2"/>
        <v>1994</v>
      </c>
      <c r="C33" s="4">
        <f t="shared" si="3"/>
        <v>56667.422799997519</v>
      </c>
      <c r="D33" s="10">
        <f t="shared" si="4"/>
        <v>7.5000000000000405E-3</v>
      </c>
      <c r="E33" s="4">
        <f t="shared" si="0"/>
        <v>58249.718913130448</v>
      </c>
      <c r="F33" s="6">
        <f t="shared" si="1"/>
        <v>2.7922499999999961E-2</v>
      </c>
      <c r="G33" s="6"/>
      <c r="H33" s="1">
        <v>29</v>
      </c>
      <c r="I33" s="7">
        <f t="shared" si="5"/>
        <v>2.7922499999999933E-2</v>
      </c>
      <c r="K33" s="1">
        <v>29</v>
      </c>
      <c r="L33" s="7">
        <f t="shared" si="6"/>
        <v>7.4999999999999893E-3</v>
      </c>
    </row>
    <row r="34" spans="1:39" s="22" customFormat="1" x14ac:dyDescent="0.3">
      <c r="A34" s="22">
        <v>30</v>
      </c>
      <c r="B34" s="22">
        <f t="shared" si="2"/>
        <v>1993</v>
      </c>
      <c r="C34" s="23">
        <f t="shared" si="3"/>
        <v>57071.178187447498</v>
      </c>
      <c r="D34" s="24">
        <f t="shared" si="4"/>
        <v>7.1249999999999421E-3</v>
      </c>
      <c r="E34" s="23">
        <f t="shared" si="0"/>
        <v>58639.208808147618</v>
      </c>
      <c r="F34" s="25">
        <f t="shared" si="1"/>
        <v>2.7474999999999989E-2</v>
      </c>
      <c r="G34" s="25"/>
      <c r="H34" s="22">
        <v>30</v>
      </c>
      <c r="I34" s="28">
        <f t="shared" si="5"/>
        <v>2.7474999999999934E-2</v>
      </c>
      <c r="K34" s="22">
        <v>30</v>
      </c>
      <c r="L34" s="28">
        <f t="shared" si="6"/>
        <v>7.124999999999989E-3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x14ac:dyDescent="0.3">
      <c r="A35" s="1">
        <v>31</v>
      </c>
      <c r="B35" s="14">
        <f t="shared" si="2"/>
        <v>1992</v>
      </c>
      <c r="C35" s="4">
        <f t="shared" si="3"/>
        <v>57456.408640212765</v>
      </c>
      <c r="D35" s="10">
        <f t="shared" si="4"/>
        <v>6.7499999999999331E-3</v>
      </c>
      <c r="E35" s="4">
        <f t="shared" si="0"/>
        <v>59009.311724736115</v>
      </c>
      <c r="F35" s="6">
        <f t="shared" si="1"/>
        <v>2.7027499999999993E-2</v>
      </c>
      <c r="G35" s="6"/>
      <c r="H35" s="1">
        <v>31</v>
      </c>
      <c r="I35" s="7">
        <f t="shared" si="5"/>
        <v>2.7027499999999934E-2</v>
      </c>
      <c r="K35" s="1">
        <v>31</v>
      </c>
      <c r="L35" s="7">
        <f t="shared" si="6"/>
        <v>6.7499999999999886E-3</v>
      </c>
    </row>
    <row r="36" spans="1:39" x14ac:dyDescent="0.3">
      <c r="A36" s="1">
        <v>32</v>
      </c>
      <c r="B36" s="1">
        <f t="shared" si="2"/>
        <v>1991</v>
      </c>
      <c r="C36" s="4">
        <f t="shared" si="3"/>
        <v>57822.693245294118</v>
      </c>
      <c r="D36" s="10">
        <f t="shared" si="4"/>
        <v>6.3749999999999449E-3</v>
      </c>
      <c r="E36" s="4">
        <f t="shared" si="0"/>
        <v>59359.620431754032</v>
      </c>
      <c r="F36" s="6">
        <f t="shared" si="1"/>
        <v>2.6579999999999937E-2</v>
      </c>
      <c r="G36" s="6"/>
      <c r="H36" s="1">
        <v>32</v>
      </c>
      <c r="I36" s="7">
        <f t="shared" si="5"/>
        <v>2.6579999999999934E-2</v>
      </c>
      <c r="K36" s="1">
        <v>32</v>
      </c>
      <c r="L36" s="7">
        <f t="shared" si="6"/>
        <v>6.3749999999999883E-3</v>
      </c>
    </row>
    <row r="37" spans="1:39" x14ac:dyDescent="0.3">
      <c r="A37" s="1">
        <v>33</v>
      </c>
      <c r="B37" s="1">
        <f t="shared" si="2"/>
        <v>1990</v>
      </c>
      <c r="C37" s="4">
        <f t="shared" si="3"/>
        <v>58169.629404765881</v>
      </c>
      <c r="D37" s="10">
        <f t="shared" si="4"/>
        <v>5.9999999999999698E-3</v>
      </c>
      <c r="E37" s="4">
        <f t="shared" si="0"/>
        <v>59689.747245185921</v>
      </c>
      <c r="F37" s="6">
        <f t="shared" si="1"/>
        <v>2.6132499999999923E-2</v>
      </c>
      <c r="G37" s="6"/>
      <c r="H37" s="1">
        <v>33</v>
      </c>
      <c r="I37" s="7">
        <f t="shared" si="5"/>
        <v>2.6132499999999934E-2</v>
      </c>
      <c r="K37" s="1">
        <v>33</v>
      </c>
      <c r="L37" s="7">
        <f t="shared" si="6"/>
        <v>5.999999999999988E-3</v>
      </c>
    </row>
    <row r="38" spans="1:39" x14ac:dyDescent="0.3">
      <c r="A38" s="1">
        <v>34</v>
      </c>
      <c r="B38" s="1">
        <f t="shared" si="2"/>
        <v>1989</v>
      </c>
      <c r="C38" s="4">
        <f t="shared" si="3"/>
        <v>58496.833570167692</v>
      </c>
      <c r="D38" s="10">
        <f t="shared" si="4"/>
        <v>5.625000000000038E-3</v>
      </c>
      <c r="E38" s="4">
        <f t="shared" si="0"/>
        <v>59999.324740417447</v>
      </c>
      <c r="F38" s="6">
        <f t="shared" si="1"/>
        <v>2.5684999999999975E-2</v>
      </c>
      <c r="G38" s="6"/>
      <c r="H38" s="1">
        <v>34</v>
      </c>
      <c r="I38" s="7">
        <f t="shared" si="5"/>
        <v>2.5684999999999934E-2</v>
      </c>
      <c r="K38" s="1">
        <v>34</v>
      </c>
      <c r="L38" s="7">
        <f t="shared" si="6"/>
        <v>5.6249999999999876E-3</v>
      </c>
    </row>
    <row r="39" spans="1:39" s="22" customFormat="1" x14ac:dyDescent="0.3">
      <c r="A39" s="22">
        <v>35</v>
      </c>
      <c r="B39" s="22">
        <f t="shared" si="2"/>
        <v>1988</v>
      </c>
      <c r="C39" s="23">
        <f t="shared" si="3"/>
        <v>58803.941946411069</v>
      </c>
      <c r="D39" s="24">
        <f t="shared" si="4"/>
        <v>5.2499999999999465E-3</v>
      </c>
      <c r="E39" s="23">
        <f t="shared" si="0"/>
        <v>60288.006431283611</v>
      </c>
      <c r="F39" s="25">
        <f t="shared" si="1"/>
        <v>2.5237499999999882E-2</v>
      </c>
      <c r="G39" s="25"/>
      <c r="H39" s="22">
        <v>35</v>
      </c>
      <c r="I39" s="28">
        <f t="shared" si="5"/>
        <v>2.5237499999999934E-2</v>
      </c>
      <c r="K39" s="22">
        <v>35</v>
      </c>
      <c r="L39" s="28">
        <f t="shared" si="6"/>
        <v>5.2499999999999873E-3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x14ac:dyDescent="0.3">
      <c r="A40" s="1">
        <v>36</v>
      </c>
      <c r="B40" s="14">
        <f t="shared" si="2"/>
        <v>1987</v>
      </c>
      <c r="C40" s="4">
        <f t="shared" si="3"/>
        <v>59090.611163399823</v>
      </c>
      <c r="D40" s="10">
        <f t="shared" si="4"/>
        <v>4.8749999999999965E-3</v>
      </c>
      <c r="E40" s="4">
        <f t="shared" si="0"/>
        <v>60555.467414140498</v>
      </c>
      <c r="F40" s="6">
        <f t="shared" si="1"/>
        <v>2.4789999999999889E-2</v>
      </c>
      <c r="G40" s="6"/>
      <c r="H40" s="1">
        <v>36</v>
      </c>
      <c r="I40" s="7">
        <f t="shared" si="5"/>
        <v>2.4789999999999934E-2</v>
      </c>
      <c r="K40" s="1">
        <v>36</v>
      </c>
      <c r="L40" s="7">
        <f t="shared" si="6"/>
        <v>4.874999999999987E-3</v>
      </c>
    </row>
    <row r="41" spans="1:39" x14ac:dyDescent="0.3">
      <c r="A41" s="1">
        <v>37</v>
      </c>
      <c r="B41" s="1">
        <f t="shared" si="2"/>
        <v>1986</v>
      </c>
      <c r="C41" s="4">
        <f t="shared" si="3"/>
        <v>59356.518913635118</v>
      </c>
      <c r="D41" s="10">
        <f t="shared" si="4"/>
        <v>4.4999999999999407E-3</v>
      </c>
      <c r="E41" s="4">
        <f t="shared" si="0"/>
        <v>60801.404975290279</v>
      </c>
      <c r="F41" s="6">
        <f t="shared" si="1"/>
        <v>2.4342499999999968E-2</v>
      </c>
      <c r="G41" s="6"/>
      <c r="H41" s="1">
        <v>37</v>
      </c>
      <c r="I41" s="7">
        <f t="shared" si="5"/>
        <v>2.4342499999999934E-2</v>
      </c>
      <c r="K41" s="1">
        <v>37</v>
      </c>
      <c r="L41" s="7">
        <f t="shared" si="6"/>
        <v>4.4999999999999866E-3</v>
      </c>
    </row>
    <row r="42" spans="1:39" x14ac:dyDescent="0.3">
      <c r="A42" s="1">
        <v>38</v>
      </c>
      <c r="B42" s="1">
        <f t="shared" si="2"/>
        <v>1985</v>
      </c>
      <c r="C42" s="4">
        <f t="shared" si="3"/>
        <v>59601.364554153864</v>
      </c>
      <c r="D42" s="10">
        <f t="shared" si="4"/>
        <v>4.1250000000000227E-3</v>
      </c>
      <c r="E42" s="4">
        <f t="shared" si="0"/>
        <v>61025.539160175365</v>
      </c>
      <c r="F42" s="6">
        <f t="shared" si="1"/>
        <v>2.3894999999999906E-2</v>
      </c>
      <c r="G42" s="6"/>
      <c r="H42" s="1">
        <v>38</v>
      </c>
      <c r="I42" s="7">
        <f t="shared" si="5"/>
        <v>2.3894999999999934E-2</v>
      </c>
      <c r="K42" s="1">
        <v>38</v>
      </c>
      <c r="L42" s="7">
        <f t="shared" si="6"/>
        <v>4.1249999999999863E-3</v>
      </c>
    </row>
    <row r="43" spans="1:39" x14ac:dyDescent="0.3">
      <c r="A43" s="1">
        <v>39</v>
      </c>
      <c r="B43" s="1">
        <f t="shared" si="2"/>
        <v>1984</v>
      </c>
      <c r="C43" s="4">
        <f t="shared" si="3"/>
        <v>59824.869671231943</v>
      </c>
      <c r="D43" s="10">
        <f t="shared" si="4"/>
        <v>3.7500000000000324E-3</v>
      </c>
      <c r="E43" s="4">
        <f t="shared" si="0"/>
        <v>61227.613302848149</v>
      </c>
      <c r="F43" s="6">
        <f t="shared" si="1"/>
        <v>2.3447499999999913E-2</v>
      </c>
      <c r="G43" s="6"/>
      <c r="H43" s="1">
        <v>39</v>
      </c>
      <c r="I43" s="7">
        <f t="shared" si="5"/>
        <v>2.3447499999999934E-2</v>
      </c>
      <c r="K43" s="1">
        <v>39</v>
      </c>
      <c r="L43" s="7">
        <f t="shared" si="6"/>
        <v>3.7499999999999864E-3</v>
      </c>
    </row>
    <row r="44" spans="1:39" s="22" customFormat="1" x14ac:dyDescent="0.3">
      <c r="A44" s="22">
        <v>40</v>
      </c>
      <c r="B44" s="22">
        <f t="shared" si="2"/>
        <v>1983</v>
      </c>
      <c r="C44" s="23">
        <f t="shared" si="3"/>
        <v>60026.778606372347</v>
      </c>
      <c r="D44" s="24">
        <f t="shared" si="4"/>
        <v>3.3749999999999301E-3</v>
      </c>
      <c r="E44" s="23">
        <f t="shared" si="0"/>
        <v>61407.394514318905</v>
      </c>
      <c r="F44" s="25">
        <f t="shared" si="1"/>
        <v>2.2999999999999899E-2</v>
      </c>
      <c r="G44" s="25"/>
      <c r="H44" s="22">
        <v>40</v>
      </c>
      <c r="I44" s="28">
        <f t="shared" si="5"/>
        <v>2.2999999999999934E-2</v>
      </c>
      <c r="K44" s="22">
        <v>40</v>
      </c>
      <c r="L44" s="28">
        <f t="shared" si="6"/>
        <v>3.3749999999999865E-3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21" customHeight="1" x14ac:dyDescent="0.3">
      <c r="A45" s="314" t="s">
        <v>94</v>
      </c>
      <c r="B45" s="313" t="s">
        <v>95</v>
      </c>
      <c r="C45" s="312" t="s">
        <v>96</v>
      </c>
      <c r="D45" s="312"/>
      <c r="E45" s="312"/>
      <c r="L45" s="7"/>
    </row>
    <row r="46" spans="1:39" ht="14.15" customHeight="1" x14ac:dyDescent="0.3">
      <c r="A46" s="314"/>
      <c r="B46" s="313"/>
      <c r="C46" s="312"/>
      <c r="D46" s="312"/>
      <c r="E46" s="312"/>
    </row>
  </sheetData>
  <sheetProtection algorithmName="SHA-512" hashValue="CznUlm0so/UiyBzfCgSBbCr17Zbwm7lg2+PdqNBFLBc52vq0YlssRWgCZQROmR0Yv8PhdEr4qN1/YOMUCpmjmg==" saltValue="VpbrfmGxpclEXNxeaOp4yw==" spinCount="100000" sheet="1" objects="1" scenarios="1"/>
  <mergeCells count="6">
    <mergeCell ref="A1:N1"/>
    <mergeCell ref="C45:E46"/>
    <mergeCell ref="B45:B46"/>
    <mergeCell ref="A45:A46"/>
    <mergeCell ref="A2:B2"/>
    <mergeCell ref="E2:J2"/>
  </mergeCells>
  <pageMargins left="0.7" right="0.7" top="0.75" bottom="0.75" header="0.3" footer="0.3"/>
  <pageSetup scale="81" orientation="portrait" r:id="rId1"/>
  <headerFooter>
    <oddHeader xml:space="preserve">&amp;CSalary Guideline Proposal 
Ministers of Word and Sacrament and Ministers of Word and Service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86be433-d661-4ae2-92e4-1deceefa57a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29C8597577C6499D8E9DCE39CB62ED" ma:contentTypeVersion="15" ma:contentTypeDescription="Create a new document." ma:contentTypeScope="" ma:versionID="26ae33d3944fce55dcde020980a538f7">
  <xsd:schema xmlns:xsd="http://www.w3.org/2001/XMLSchema" xmlns:xs="http://www.w3.org/2001/XMLSchema" xmlns:p="http://schemas.microsoft.com/office/2006/metadata/properties" xmlns:ns3="99e0e4f8-7818-45dd-85c2-6cd60f92ff05" xmlns:ns4="586be433-d661-4ae2-92e4-1deceefa57a0" targetNamespace="http://schemas.microsoft.com/office/2006/metadata/properties" ma:root="true" ma:fieldsID="a4db2f3ab27c2e9f86545f18f9f299d7" ns3:_="" ns4:_="">
    <xsd:import namespace="99e0e4f8-7818-45dd-85c2-6cd60f92ff05"/>
    <xsd:import namespace="586be433-d661-4ae2-92e4-1deceefa57a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0e4f8-7818-45dd-85c2-6cd60f92ff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6be433-d661-4ae2-92e4-1deceefa57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743004-DF13-4F92-AF5B-0A4C26CE9093}">
  <ds:schemaRefs>
    <ds:schemaRef ds:uri="http://schemas.microsoft.com/office/2006/metadata/properties"/>
    <ds:schemaRef ds:uri="http://schemas.microsoft.com/office/infopath/2007/PartnerControls"/>
    <ds:schemaRef ds:uri="586be433-d661-4ae2-92e4-1deceefa57a0"/>
  </ds:schemaRefs>
</ds:datastoreItem>
</file>

<file path=customXml/itemProps2.xml><?xml version="1.0" encoding="utf-8"?>
<ds:datastoreItem xmlns:ds="http://schemas.openxmlformats.org/officeDocument/2006/customXml" ds:itemID="{0AC27C27-7010-4597-A1C6-1D8064E0D1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D8A07B-11D0-43C8-8148-45B475E0BC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e0e4f8-7818-45dd-85c2-6cd60f92ff05"/>
    <ds:schemaRef ds:uri="586be433-d661-4ae2-92e4-1deceefa57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Directions</vt:lpstr>
      <vt:lpstr>Worksheet - NO Parsonage</vt:lpstr>
      <vt:lpstr>Example NO Parsonage </vt:lpstr>
      <vt:lpstr>2025 Minister Salary Table</vt:lpstr>
      <vt:lpstr>2024 Minister Salary Table</vt:lpstr>
      <vt:lpstr>2023 Minister Salary Table</vt:lpstr>
      <vt:lpstr>'2023 Minister Salary Table'!Print_Area</vt:lpstr>
      <vt:lpstr>'2024 Minister Salary Table'!Print_Area</vt:lpstr>
      <vt:lpstr>'2025 Minister Salary Table'!Print_Area</vt:lpstr>
      <vt:lpstr>'Example NO Parsonage '!Print_Area</vt:lpstr>
      <vt:lpstr>'Worksheet - NO Parsonage'!Print_Area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NorSwiss Dairy</dc:creator>
  <cp:keywords/>
  <dc:description/>
  <cp:lastModifiedBy>Annelies Seffrood</cp:lastModifiedBy>
  <cp:revision/>
  <dcterms:created xsi:type="dcterms:W3CDTF">2022-09-07T15:34:05Z</dcterms:created>
  <dcterms:modified xsi:type="dcterms:W3CDTF">2024-08-29T21:03:18Z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0x0101001929C8597577C6499D8E9DCE39CB62ED</vt:lpwstr>
  </property>
</Properties>
</file>